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scgovdc-my.sharepoint.com/personal/cbevington_cpsc_gov/Documents/Desktop/CO 3_Class Based Exposure Clearance and Web Posting/37 Supporting Files 508 and ready for web posting/"/>
    </mc:Choice>
  </mc:AlternateContent>
  <xr:revisionPtr revIDLastSave="0" documentId="8_{767B75E5-8D60-4BC6-9342-4B8E3C017E51}" xr6:coauthVersionLast="47" xr6:coauthVersionMax="47" xr10:uidLastSave="{00000000-0000-0000-0000-000000000000}"/>
  <bookViews>
    <workbookView xWindow="28680" yWindow="-120" windowWidth="29040" windowHeight="15840" xr2:uid="{12DB4DF9-3DC2-42F9-9110-65ED7FFED541}"/>
  </bookViews>
  <sheets>
    <sheet name="ReadMe" sheetId="7" r:id="rId1"/>
    <sheet name="Study Information" sheetId="11" r:id="rId2"/>
    <sheet name="fabs and kp" sheetId="5" r:id="rId3"/>
    <sheet name="GenPop Data" sheetId="4" r:id="rId4"/>
    <sheet name="Calculations" sheetId="6" r:id="rId5"/>
  </sheets>
  <definedNames>
    <definedName name="_xlnm._FilterDatabase" localSheetId="4" hidden="1">Calculations!$A$2:$AT$2</definedName>
    <definedName name="_xlnm._FilterDatabase" localSheetId="3" hidden="1">'GenPop Data'!$A$1:$AA$44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4" l="1"/>
  <c r="AA34" i="4"/>
  <c r="T44" i="4"/>
  <c r="O43" i="4"/>
  <c r="W43" i="4"/>
  <c r="AA37" i="4" s="1"/>
  <c r="U43" i="4"/>
  <c r="O36" i="4"/>
  <c r="U36" i="4"/>
  <c r="T36" i="4"/>
  <c r="O18" i="4"/>
  <c r="U18" i="4"/>
  <c r="T18" i="4"/>
  <c r="AA6" i="4"/>
  <c r="AA3" i="4"/>
  <c r="O5" i="4"/>
  <c r="U5" i="4"/>
  <c r="T5" i="4"/>
  <c r="AA33" i="4" l="1"/>
  <c r="AA19" i="4"/>
  <c r="AA16" i="4"/>
  <c r="AA15" i="4"/>
  <c r="AA2" i="4"/>
  <c r="D3" i="5" l="1"/>
  <c r="F3" i="5" s="1"/>
  <c r="D2" i="5"/>
  <c r="F2" i="5" s="1"/>
  <c r="B2" i="5"/>
  <c r="D4" i="5"/>
  <c r="F4" i="5" s="1"/>
  <c r="B4" i="5"/>
  <c r="B3" i="5"/>
  <c r="AK9" i="6"/>
  <c r="AK8" i="6"/>
  <c r="AK7" i="6"/>
  <c r="AK6" i="6"/>
  <c r="AK5" i="6"/>
  <c r="AK4" i="6"/>
  <c r="AK12" i="6"/>
  <c r="AK11" i="6"/>
  <c r="AK10" i="6"/>
  <c r="AK3" i="6"/>
  <c r="AQ12" i="6" l="1"/>
  <c r="AQ11" i="6"/>
  <c r="AQ10" i="6"/>
  <c r="AQ4" i="6"/>
  <c r="AS4" i="6" s="1"/>
  <c r="AT4" i="6" s="1"/>
  <c r="AQ3" i="6"/>
  <c r="AS3" i="6" s="1"/>
  <c r="AT3" i="6" s="1"/>
  <c r="AQ5" i="6"/>
  <c r="AS5" i="6" s="1"/>
  <c r="AT5" i="6" s="1"/>
  <c r="AN9" i="6"/>
  <c r="AO9" i="6" s="1"/>
  <c r="AP9" i="6" s="1"/>
  <c r="AN8" i="6"/>
  <c r="AO8" i="6" s="1"/>
  <c r="AP8" i="6" s="1"/>
  <c r="AN7" i="6"/>
  <c r="AO7" i="6" s="1"/>
  <c r="AP7" i="6" s="1"/>
  <c r="AN6" i="6"/>
  <c r="AO6" i="6" s="1"/>
  <c r="AP6" i="6" s="1"/>
  <c r="AN10" i="6"/>
  <c r="AO10" i="6" s="1"/>
  <c r="AP10" i="6" s="1"/>
  <c r="AN12" i="6"/>
  <c r="AO12" i="6" s="1"/>
  <c r="AP12" i="6" s="1"/>
  <c r="AN11" i="6"/>
  <c r="AO11" i="6" s="1"/>
  <c r="AP11" i="6" s="1"/>
  <c r="AN5" i="6"/>
  <c r="AO5" i="6" s="1"/>
  <c r="AP5" i="6" s="1"/>
  <c r="AN3" i="6"/>
  <c r="AO3" i="6" s="1"/>
  <c r="AP3" i="6" s="1"/>
  <c r="AN4" i="6"/>
  <c r="AO4" i="6" s="1"/>
  <c r="AP4" i="6" s="1"/>
  <c r="AQ9" i="6"/>
  <c r="AS9" i="6" s="1"/>
  <c r="AT9" i="6" s="1"/>
  <c r="AQ8" i="6"/>
  <c r="AS8" i="6" s="1"/>
  <c r="AT8" i="6" s="1"/>
  <c r="AQ7" i="6"/>
  <c r="AS7" i="6" s="1"/>
  <c r="AT7" i="6" s="1"/>
  <c r="AQ6" i="6"/>
  <c r="AS6" i="6" s="1"/>
  <c r="AT6" i="6" s="1"/>
  <c r="AS10" i="6"/>
  <c r="AT10" i="6" s="1"/>
  <c r="AS11" i="6"/>
  <c r="AT11" i="6" s="1"/>
  <c r="AS12" i="6"/>
  <c r="AT12" i="6" s="1"/>
</calcChain>
</file>

<file path=xl/sharedStrings.xml><?xml version="1.0" encoding="utf-8"?>
<sst xmlns="http://schemas.openxmlformats.org/spreadsheetml/2006/main" count="820" uniqueCount="210">
  <si>
    <t>This file provides the handwipe data used and the corresponding dose calculations using the fabs and kp methods.</t>
  </si>
  <si>
    <t>Last updated: April 24, 2024</t>
  </si>
  <si>
    <t>Tab</t>
  </si>
  <si>
    <t>Description</t>
  </si>
  <si>
    <t>Study Information</t>
  </si>
  <si>
    <t>This tab includes the full citation for studies used.</t>
  </si>
  <si>
    <t>fabs and kp</t>
  </si>
  <si>
    <t>Values and sources used for fabs and kp</t>
  </si>
  <si>
    <t>GenPop Data</t>
  </si>
  <si>
    <t>Extracted data for general population. A pooled central tendency value was calculated for each age group using study-reported medians.</t>
  </si>
  <si>
    <t>Calculations</t>
  </si>
  <si>
    <t>Exposure calculations.</t>
  </si>
  <si>
    <t>Study Name (in Litstream)</t>
  </si>
  <si>
    <t>Litstream ID</t>
  </si>
  <si>
    <t>Full Citation</t>
  </si>
  <si>
    <t>Medians Reported</t>
  </si>
  <si>
    <t>Gloekler, 2021</t>
  </si>
  <si>
    <t>Env_01114</t>
  </si>
  <si>
    <t>Gloekler, LE; Barlow, CA; Tvermoes, B; La Guardia, MJ; Sahmel, J. (2021) A pilot study to characterize hand-to-mouth transfer efficiency of organophosphate flame retardants identified in infant products. Human and Ecological Risk Assessment: An International Journal, 27: 2288-2310. https://doi.org/10.1080/10807039.2021.1989662</t>
  </si>
  <si>
    <t>Hoffman, 2015</t>
  </si>
  <si>
    <t>Env_00007</t>
  </si>
  <si>
    <t>Hoffman, K; Garantziotis, S; Birnbaum, LS; Stapleton, HM. (2015) Monitoring Indoor Exposure to Organophosphate Flame Retardants: Hand Wipes and House Dust. Environmental Health Perspectives, 123: 160-165. http://dx.doi.org/10.1289/ehp.1408669</t>
  </si>
  <si>
    <t>x</t>
  </si>
  <si>
    <t>Keller, 2014</t>
  </si>
  <si>
    <t>Env_00361</t>
  </si>
  <si>
    <t>Keller, AS; Raju, NP; Webster, TF; Stapleton, HM. (2014) Flame Retardant Applications in Camping Tents and Potential Exposure. Environmental Science &amp; Technology Letters, 1: 152-155. dx.doi.org/10.1021/ez400185y</t>
  </si>
  <si>
    <t>Larsson, 2018</t>
  </si>
  <si>
    <t>Env_00465</t>
  </si>
  <si>
    <t>Larsson, K; de Wit, CA; Sellström, U; Sahlström, L; Lindh, CH; Berglund, M. (2018) Brominated Flame Retardants and Organophosphate Esters in Preschool Dust and Children's Hand Wipes. Enviromental Science &amp; Technology, 52: 4878-4888. 10.1021/acs.est.8b00184</t>
  </si>
  <si>
    <t>Liu, 2017</t>
  </si>
  <si>
    <t>Env_00057</t>
  </si>
  <si>
    <t>Liu, XT; Yu, G; Cao, ZG; Wang, B; Huang, J; Deng, SB; Wang, YJ. (2017) Occurrence of organophosphorus flame retardants on skin wipes: Insight into human exposure from dermal absorption. Environment International, 98: 113-119. http://dx.doi.org/10.1016/j.envint.2016.10.021</t>
  </si>
  <si>
    <t>Stapleton, 2014</t>
  </si>
  <si>
    <t>Env_00019</t>
  </si>
  <si>
    <t>Stapleton, HM; Misenheimer, J; Hoffman, K; Webster, TF. (2014) Flame retardant associations between children's handwipes and house dust. Chemosphere, 116: 54-60. http://dx.doi.org/10.1016/j.chemosphere.2013.12.100</t>
  </si>
  <si>
    <t>Sugeng, 2020</t>
  </si>
  <si>
    <t>Env_00041</t>
  </si>
  <si>
    <t>Sugeng, EJ; de Cock, M; Leonards, PEG; van de Bor, M. (2020) Toddler behavior, the home environment, and flame retardant exposure. Chemosphere, 252: 126588. https://doi.org/10.1016/j.chemosphere.2020.126588</t>
  </si>
  <si>
    <t>Tan, 2018</t>
  </si>
  <si>
    <t>Env_00054</t>
  </si>
  <si>
    <t>Tan, HL; Chen, DF; Peng, CF; Liu, XT; Wu, Y; Li, X,; Du, R; Wang, B; Guo, Y; Zeng, EY. (2018) Novel and Traditional Organophosphate Esters in House Dust from South China: Association with Hand Wipes and Exposure Estimation. Environmental Science &amp; Technology, 52: 11017-11026. DOI: 10.1021/acs.est.8b02933</t>
  </si>
  <si>
    <t>Wang, 2019</t>
  </si>
  <si>
    <t>Env_00564</t>
  </si>
  <si>
    <t>Wang, SR; Romanak, KA; Stubbings, WA; Arrandale, VH; Hendryx, M; Diamond, ML; Salamova, A; Venier, M. (2019) Silicone wristbands integrate dermal and inhalation exposures to semi-volatile organic compounds (SVOCs). Environment International, 132: 105104. https://doi.org/10.1016/j.envint.2019.105104</t>
  </si>
  <si>
    <t>Xu, 2016</t>
  </si>
  <si>
    <t>Env_00026</t>
  </si>
  <si>
    <t>Xu, F; Giovanoulis, G; van Waes, S; Padilla-Sanchez, JA; Papadopoulou, E; Magnér, J; Haug, LS; Neels, H; Covaci, A. (2016) Comprehensive Study of Human External Exposure to Organophosphate Flame Retardants via Air, Dust, and Hand Wipes: The Importance of Sampling and Assessment Strategy. Environmental Science &amp; Technology, 50: 7752-7760. DOI: 10.1021/acs.est.6b00246</t>
  </si>
  <si>
    <t>Yang, 2019</t>
  </si>
  <si>
    <t>Env_00459</t>
  </si>
  <si>
    <t>Yang, C; Harris, SA; Jantunen, LM; Siddique, S; Kubwabo, C; Tsirlin, D; Latifovic, L; Fraser, B; St-Jean, M; De La Campa, R; You, H; Kulka, R; Diamond, ML. (2019) Are cell phones an indicator of personal exposure to organophosphate flame retardants and plasticizers?. Environment International, 122: 104-116. https://doi.org/10.1016/j.envint.2018.10.021</t>
  </si>
  <si>
    <t>fabs
(-)</t>
  </si>
  <si>
    <t>fabs Notes</t>
  </si>
  <si>
    <t>kp, acetone to skin
(cm/hr)</t>
  </si>
  <si>
    <t>logKow*</t>
  </si>
  <si>
    <t>kp, lipid to skin
(cm/hr)</t>
  </si>
  <si>
    <t>kp Notes</t>
  </si>
  <si>
    <t>Source for fabs and kp</t>
  </si>
  <si>
    <t>TCEP</t>
  </si>
  <si>
    <t>Table 1, Absorbed. Average of both skin types</t>
  </si>
  <si>
    <t>Table 2. Average of both skin types</t>
  </si>
  <si>
    <t>Abdallah et al. (2016) Human dermal absorption of chlorinated organophosphate flame retardants; implications for human exposure. Toxicology and Applied Pharmacology, 291, 28-37</t>
  </si>
  <si>
    <t>TCIPP</t>
  </si>
  <si>
    <t>TDCIPP</t>
  </si>
  <si>
    <t>*logKow values obtained from U.S. Consumer Product Safety Commission (CPSC). 2023. Organohalogen Flame Retardant Scope Document: Polyhalogenated Organophosphate Subclass. https://www.cpsc.gov/s3fs-public/PHOP-Scope-Document-final.pdf</t>
  </si>
  <si>
    <t>Study Reported Chemical Abbreviation</t>
  </si>
  <si>
    <t>Standardized Chemical Name</t>
  </si>
  <si>
    <t>Microenvironment</t>
  </si>
  <si>
    <t>Study</t>
  </si>
  <si>
    <t>Scenario</t>
  </si>
  <si>
    <t>Country</t>
  </si>
  <si>
    <t>Medium</t>
  </si>
  <si>
    <t>Submatrix</t>
  </si>
  <si>
    <t>n</t>
  </si>
  <si>
    <t>DF</t>
  </si>
  <si>
    <t>LOD</t>
  </si>
  <si>
    <t>LOD Unit</t>
  </si>
  <si>
    <t>Stat Unit</t>
  </si>
  <si>
    <t>Min</t>
  </si>
  <si>
    <t>10th percentile</t>
  </si>
  <si>
    <t>25th percentile</t>
  </si>
  <si>
    <t>75th percentile</t>
  </si>
  <si>
    <t>90th percentile</t>
  </si>
  <si>
    <t>95th percentile</t>
  </si>
  <si>
    <t>Max</t>
  </si>
  <si>
    <t>Arithmetic Mean</t>
  </si>
  <si>
    <t>Median</t>
  </si>
  <si>
    <t>Geometric Mean</t>
  </si>
  <si>
    <t>Receptors</t>
  </si>
  <si>
    <t>Age Group</t>
  </si>
  <si>
    <t>Pooled CT 
(pg/cm2)</t>
  </si>
  <si>
    <t>Tris(2-chloroethyl) phosphate</t>
  </si>
  <si>
    <t>Residential</t>
  </si>
  <si>
    <t>2Env_00041</t>
  </si>
  <si>
    <t>Hand wipes from toddlers enrolled in Dutch LINK cohort</t>
  </si>
  <si>
    <t>Netherlands</t>
  </si>
  <si>
    <t>Hand wipes</t>
  </si>
  <si>
    <t>pg</t>
  </si>
  <si>
    <t>pg/cm2</t>
  </si>
  <si>
    <t>children (8-18 months)</t>
  </si>
  <si>
    <t>infant (1-2 yrs)</t>
  </si>
  <si>
    <t>2Env_00054</t>
  </si>
  <si>
    <t>Households in South China</t>
  </si>
  <si>
    <t>China</t>
  </si>
  <si>
    <t>children's hand wipes</t>
  </si>
  <si>
    <t>children (1-5)</t>
  </si>
  <si>
    <t>small child (3-5 yrs)</t>
  </si>
  <si>
    <t>United States</t>
  </si>
  <si>
    <t>Hand wipe</t>
  </si>
  <si>
    <t>from both hands</t>
  </si>
  <si>
    <t>children (2-5)</t>
  </si>
  <si>
    <t xml:space="preserve"> </t>
  </si>
  <si>
    <t>School</t>
  </si>
  <si>
    <t>2Env_00465</t>
  </si>
  <si>
    <t>Preschools in Sweden</t>
  </si>
  <si>
    <t>Sweden</t>
  </si>
  <si>
    <t>ng/sample</t>
  </si>
  <si>
    <t>children (4 yrs)</t>
  </si>
  <si>
    <t>Commercial</t>
  </si>
  <si>
    <t>2Env_00057</t>
  </si>
  <si>
    <t>Offices in Beijing</t>
  </si>
  <si>
    <t>Palms and back of hands</t>
  </si>
  <si>
    <t>adults (13 male, 9 female)</t>
  </si>
  <si>
    <t>adults</t>
  </si>
  <si>
    <t>NA</t>
  </si>
  <si>
    <t>2Env_00564</t>
  </si>
  <si>
    <t>Ten adult participants between ages 23-50</t>
  </si>
  <si>
    <t>adults (7 male, 3 female)</t>
  </si>
  <si>
    <t>adult's hand wipes</t>
  </si>
  <si>
    <t>2Env_00026</t>
  </si>
  <si>
    <t>Adult residents in Oslo, Norway</t>
  </si>
  <si>
    <t>Norway</t>
  </si>
  <si>
    <t>2Env_00459</t>
  </si>
  <si>
    <t>Homes in Ontario</t>
  </si>
  <si>
    <t>Canada</t>
  </si>
  <si>
    <t>Palms</t>
  </si>
  <si>
    <t>adults, female</t>
  </si>
  <si>
    <t>Students and staffs from Tsinghua University</t>
  </si>
  <si>
    <t>adults (15 males, 15 females)</t>
  </si>
  <si>
    <t>Back of hands</t>
  </si>
  <si>
    <t>Forearms</t>
  </si>
  <si>
    <t>Hand backs</t>
  </si>
  <si>
    <t>Tris(2-chloroisopropyl)phosphate</t>
  </si>
  <si>
    <t>2Env_01114</t>
  </si>
  <si>
    <t>Adult volunteers recruited from among employee colleagues</t>
  </si>
  <si>
    <t>Left hand before handling bath product with cover</t>
  </si>
  <si>
    <t>adults (6 female, 3 male)</t>
  </si>
  <si>
    <t>Left hand after handling bath product with cover</t>
  </si>
  <si>
    <t>Left hand before handling diaper changing pad</t>
  </si>
  <si>
    <t>Left hand after handling diaper changing pad</t>
  </si>
  <si>
    <t>Left hand after handling bath product with no cover</t>
  </si>
  <si>
    <t>ΣTCPPs</t>
  </si>
  <si>
    <t>Tris(chloropropyl)phosphate</t>
  </si>
  <si>
    <t>TDCPP</t>
  </si>
  <si>
    <t>Tris(1,3-dichloro-2-propyl) phosphate</t>
  </si>
  <si>
    <t>adult, 49% male</t>
  </si>
  <si>
    <t>2Env_00361</t>
  </si>
  <si>
    <t>Hand wipes after using camping tents in North Carolina</t>
  </si>
  <si>
    <t>United states</t>
  </si>
  <si>
    <t>mg</t>
  </si>
  <si>
    <t>ug/m2</t>
  </si>
  <si>
    <t>&lt;LOD</t>
  </si>
  <si>
    <t>Fraction Absorbed Approach</t>
  </si>
  <si>
    <t>Permeability Approach</t>
  </si>
  <si>
    <t>Chemical Abbreviation</t>
  </si>
  <si>
    <t>Chemical</t>
  </si>
  <si>
    <t>envir</t>
  </si>
  <si>
    <t>study</t>
  </si>
  <si>
    <t>litstream_id</t>
  </si>
  <si>
    <t>scenario</t>
  </si>
  <si>
    <t>country</t>
  </si>
  <si>
    <t>medium</t>
  </si>
  <si>
    <t>submatrix</t>
  </si>
  <si>
    <t>index</t>
  </si>
  <si>
    <t>df</t>
  </si>
  <si>
    <t>lod</t>
  </si>
  <si>
    <t>lodunit</t>
  </si>
  <si>
    <t>statunit</t>
  </si>
  <si>
    <t>arithmetic mean</t>
  </si>
  <si>
    <t>geometric mean</t>
  </si>
  <si>
    <t>max</t>
  </si>
  <si>
    <t>median</t>
  </si>
  <si>
    <t>min</t>
  </si>
  <si>
    <t>lodperc</t>
  </si>
  <si>
    <t>lodval</t>
  </si>
  <si>
    <t>maxperc</t>
  </si>
  <si>
    <t>minperc</t>
  </si>
  <si>
    <t>nperc</t>
  </si>
  <si>
    <t>vvec</t>
  </si>
  <si>
    <t>pvec</t>
  </si>
  <si>
    <t>gm</t>
  </si>
  <si>
    <t>gsd</t>
  </si>
  <si>
    <t>subjects</t>
  </si>
  <si>
    <t>Exposure Surface Area
(cm2)</t>
  </si>
  <si>
    <t>Body Weight 
(kg)</t>
  </si>
  <si>
    <t>Absorption Fraction
(-)</t>
  </si>
  <si>
    <t>Dose - fabs approach
(pg/kg/day)</t>
  </si>
  <si>
    <t>Dose - fabs approach
(mg/kg/day)</t>
  </si>
  <si>
    <t>kp
(cm/h)</t>
  </si>
  <si>
    <t>Skin Lipid Thickness
(um)</t>
  </si>
  <si>
    <t>Dose - kp approach
(pg/kg/day)</t>
  </si>
  <si>
    <t>Dose - kp approach
(mg/kg/day)</t>
  </si>
  <si>
    <t>14.1476880607315|86.2663906142167|224.292615596963</t>
  </si>
  <si>
    <t>10|25|50</t>
  </si>
  <si>
    <t>20|130</t>
  </si>
  <si>
    <t>4.34782608695652|25</t>
  </si>
  <si>
    <t>1.0351966873706|15.527950310559|127.674258109041</t>
  </si>
  <si>
    <t>30|340</t>
  </si>
  <si>
    <t>5.52104899930987|9.66183574879227|75.9144237405107</t>
  </si>
  <si>
    <t>421|1583</t>
  </si>
  <si>
    <t>9.09090909090909|25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</si>
</sst>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3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/>
    <xf numFmtId="0" fontId="2" fillId="2" borderId="0" xfId="0" applyFont="1" applyFill="1"/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/>
    </xf>
    <xf numFmtId="11" fontId="2" fillId="0" borderId="3" xfId="0" applyNumberFormat="1" applyFont="1" applyBorder="1" applyAlignment="1">
      <alignment horizontal="center" vertical="center"/>
    </xf>
    <xf numFmtId="11" fontId="2" fillId="0" borderId="3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/>
    </xf>
    <xf numFmtId="11" fontId="2" fillId="3" borderId="3" xfId="0" applyNumberFormat="1" applyFont="1" applyFill="1" applyBorder="1" applyAlignment="1">
      <alignment horizontal="center" vertical="center"/>
    </xf>
    <xf numFmtId="11" fontId="2" fillId="3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11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/>
    <xf numFmtId="2" fontId="2" fillId="3" borderId="1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A70EAD-B36C-44F9-8B6B-04B69AB1A507}" name="Table1" displayName="Table1" ref="A1:D12" totalsRowShown="0" headerRowDxfId="5" dataDxfId="4">
  <autoFilter ref="A1:D12" xr:uid="{DCA70EAD-B36C-44F9-8B6B-04B69AB1A507}">
    <filterColumn colId="3">
      <customFilters>
        <customFilter operator="notEqual" val=" "/>
      </customFilters>
    </filterColumn>
  </autoFilter>
  <tableColumns count="4">
    <tableColumn id="1" xr3:uid="{D12F95C4-A391-4BCB-8ED3-59F420496AE5}" name="Study Name (in Litstream)" dataDxfId="3"/>
    <tableColumn id="2" xr3:uid="{E090E48F-DC41-4604-A0D0-92D654C4CEA4}" name="Litstream ID" dataDxfId="2"/>
    <tableColumn id="3" xr3:uid="{624A7A26-5EE2-4214-95CD-BF2395BF1835}" name="Full Citation" dataDxfId="1"/>
    <tableColumn id="4" xr3:uid="{850F3D6E-B616-4707-8C94-B7E20B6B164E}" name="Medians Repor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C19B-4E00-4950-873B-1A4E8B98D7E8}">
  <dimension ref="A1:B8"/>
  <sheetViews>
    <sheetView tabSelected="1" workbookViewId="0"/>
  </sheetViews>
  <sheetFormatPr defaultColWidth="8.85546875" defaultRowHeight="15" x14ac:dyDescent="0.25"/>
  <cols>
    <col min="1" max="1" width="21.85546875" style="10" customWidth="1"/>
    <col min="2" max="2" width="92.85546875" style="10" customWidth="1"/>
    <col min="3" max="3" width="71.28515625" style="10" customWidth="1"/>
    <col min="4" max="16384" width="8.85546875" style="10"/>
  </cols>
  <sheetData>
    <row r="1" spans="1:2" x14ac:dyDescent="0.25">
      <c r="A1" s="10" t="s">
        <v>0</v>
      </c>
    </row>
    <row r="2" spans="1:2" x14ac:dyDescent="0.25">
      <c r="A2" s="11" t="s">
        <v>1</v>
      </c>
    </row>
    <row r="3" spans="1:2" x14ac:dyDescent="0.25">
      <c r="A3" s="11"/>
    </row>
    <row r="4" spans="1:2" x14ac:dyDescent="0.25">
      <c r="A4" s="12" t="s">
        <v>2</v>
      </c>
      <c r="B4" s="12" t="s">
        <v>3</v>
      </c>
    </row>
    <row r="5" spans="1:2" x14ac:dyDescent="0.25">
      <c r="A5" s="13" t="s">
        <v>4</v>
      </c>
      <c r="B5" s="14" t="s">
        <v>5</v>
      </c>
    </row>
    <row r="6" spans="1:2" x14ac:dyDescent="0.25">
      <c r="A6" s="13" t="s">
        <v>6</v>
      </c>
      <c r="B6" s="15" t="s">
        <v>7</v>
      </c>
    </row>
    <row r="7" spans="1:2" ht="30" x14ac:dyDescent="0.25">
      <c r="A7" s="13" t="s">
        <v>8</v>
      </c>
      <c r="B7" s="15" t="s">
        <v>9</v>
      </c>
    </row>
    <row r="8" spans="1:2" x14ac:dyDescent="0.25">
      <c r="A8" s="13" t="s">
        <v>10</v>
      </c>
      <c r="B8" s="1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944D-06B9-42F6-9ED3-F6C12A095B89}">
  <dimension ref="A1:D12"/>
  <sheetViews>
    <sheetView workbookViewId="0">
      <selection activeCell="F7" sqref="F7"/>
    </sheetView>
  </sheetViews>
  <sheetFormatPr defaultColWidth="8.85546875" defaultRowHeight="15" x14ac:dyDescent="0.25"/>
  <cols>
    <col min="1" max="1" width="15" style="51" customWidth="1"/>
    <col min="2" max="2" width="12.85546875" style="51" customWidth="1"/>
    <col min="3" max="3" width="120.7109375" style="51" customWidth="1"/>
    <col min="4" max="4" width="8.85546875" style="48"/>
    <col min="5" max="16384" width="8.85546875" style="49"/>
  </cols>
  <sheetData>
    <row r="1" spans="1:4" ht="30" x14ac:dyDescent="0.25">
      <c r="A1" s="47" t="s">
        <v>12</v>
      </c>
      <c r="B1" s="47" t="s">
        <v>13</v>
      </c>
      <c r="C1" s="47" t="s">
        <v>14</v>
      </c>
      <c r="D1" s="48" t="s">
        <v>15</v>
      </c>
    </row>
    <row r="2" spans="1:4" s="7" customFormat="1" ht="45" hidden="1" x14ac:dyDescent="0.25">
      <c r="A2" s="9" t="s">
        <v>16</v>
      </c>
      <c r="B2" s="9" t="s">
        <v>17</v>
      </c>
      <c r="C2" s="6" t="s">
        <v>18</v>
      </c>
      <c r="D2" s="8"/>
    </row>
    <row r="3" spans="1:4" ht="30" x14ac:dyDescent="0.25">
      <c r="A3" s="50" t="s">
        <v>19</v>
      </c>
      <c r="B3" s="50" t="s">
        <v>20</v>
      </c>
      <c r="C3" s="51" t="s">
        <v>21</v>
      </c>
      <c r="D3" s="52" t="s">
        <v>22</v>
      </c>
    </row>
    <row r="4" spans="1:4" ht="30" x14ac:dyDescent="0.25">
      <c r="A4" s="50" t="s">
        <v>23</v>
      </c>
      <c r="B4" s="50" t="s">
        <v>24</v>
      </c>
      <c r="C4" s="51" t="s">
        <v>25</v>
      </c>
      <c r="D4" s="52" t="s">
        <v>22</v>
      </c>
    </row>
    <row r="5" spans="1:4" s="7" customFormat="1" ht="45" hidden="1" x14ac:dyDescent="0.25">
      <c r="A5" s="9" t="s">
        <v>26</v>
      </c>
      <c r="B5" s="9" t="s">
        <v>27</v>
      </c>
      <c r="C5" s="6" t="s">
        <v>28</v>
      </c>
      <c r="D5" s="8"/>
    </row>
    <row r="6" spans="1:4" ht="45" x14ac:dyDescent="0.25">
      <c r="A6" s="50" t="s">
        <v>29</v>
      </c>
      <c r="B6" s="50" t="s">
        <v>30</v>
      </c>
      <c r="C6" s="51" t="s">
        <v>31</v>
      </c>
      <c r="D6" s="52" t="s">
        <v>22</v>
      </c>
    </row>
    <row r="7" spans="1:4" ht="30" x14ac:dyDescent="0.25">
      <c r="A7" s="50" t="s">
        <v>32</v>
      </c>
      <c r="B7" s="50" t="s">
        <v>33</v>
      </c>
      <c r="C7" s="51" t="s">
        <v>34</v>
      </c>
      <c r="D7" s="52" t="s">
        <v>22</v>
      </c>
    </row>
    <row r="8" spans="1:4" ht="30" x14ac:dyDescent="0.25">
      <c r="A8" s="50" t="s">
        <v>35</v>
      </c>
      <c r="B8" s="50" t="s">
        <v>36</v>
      </c>
      <c r="C8" s="51" t="s">
        <v>37</v>
      </c>
      <c r="D8" s="52" t="s">
        <v>22</v>
      </c>
    </row>
    <row r="9" spans="1:4" ht="45" x14ac:dyDescent="0.25">
      <c r="A9" s="50" t="s">
        <v>38</v>
      </c>
      <c r="B9" s="50" t="s">
        <v>39</v>
      </c>
      <c r="C9" s="51" t="s">
        <v>40</v>
      </c>
      <c r="D9" s="52" t="s">
        <v>22</v>
      </c>
    </row>
    <row r="10" spans="1:4" ht="45" x14ac:dyDescent="0.25">
      <c r="A10" s="50" t="s">
        <v>41</v>
      </c>
      <c r="B10" s="50" t="s">
        <v>42</v>
      </c>
      <c r="C10" s="51" t="s">
        <v>43</v>
      </c>
      <c r="D10" s="52" t="s">
        <v>22</v>
      </c>
    </row>
    <row r="11" spans="1:4" ht="45" x14ac:dyDescent="0.25">
      <c r="A11" s="50" t="s">
        <v>44</v>
      </c>
      <c r="B11" s="50" t="s">
        <v>45</v>
      </c>
      <c r="C11" s="51" t="s">
        <v>46</v>
      </c>
      <c r="D11" s="52" t="s">
        <v>22</v>
      </c>
    </row>
    <row r="12" spans="1:4" ht="45" x14ac:dyDescent="0.25">
      <c r="A12" s="50" t="s">
        <v>47</v>
      </c>
      <c r="B12" s="50" t="s">
        <v>48</v>
      </c>
      <c r="C12" s="51" t="s">
        <v>49</v>
      </c>
      <c r="D12" s="52" t="s">
        <v>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CA42-5FD1-404E-8A64-3E051C3B508F}">
  <dimension ref="A1:H6"/>
  <sheetViews>
    <sheetView workbookViewId="0">
      <selection activeCell="C10" sqref="C10"/>
    </sheetView>
  </sheetViews>
  <sheetFormatPr defaultColWidth="8.85546875" defaultRowHeight="15" x14ac:dyDescent="0.25"/>
  <cols>
    <col min="1" max="1" width="8.85546875" style="11"/>
    <col min="2" max="2" width="8.85546875" style="40"/>
    <col min="3" max="3" width="22.28515625" style="11" customWidth="1"/>
    <col min="4" max="5" width="13.140625" style="40" customWidth="1"/>
    <col min="6" max="6" width="11" style="40" customWidth="1"/>
    <col min="7" max="7" width="17.5703125" style="11" customWidth="1"/>
    <col min="8" max="8" width="88.85546875" style="11" customWidth="1"/>
    <col min="9" max="16384" width="8.85546875" style="11"/>
  </cols>
  <sheetData>
    <row r="1" spans="1:8" ht="45" x14ac:dyDescent="0.25">
      <c r="A1" s="43"/>
      <c r="B1" s="44" t="s">
        <v>50</v>
      </c>
      <c r="C1" s="43" t="s">
        <v>51</v>
      </c>
      <c r="D1" s="44" t="s">
        <v>52</v>
      </c>
      <c r="E1" s="44" t="s">
        <v>53</v>
      </c>
      <c r="F1" s="44" t="s">
        <v>54</v>
      </c>
      <c r="G1" s="43" t="s">
        <v>55</v>
      </c>
      <c r="H1" s="43" t="s">
        <v>56</v>
      </c>
    </row>
    <row r="2" spans="1:8" s="10" customFormat="1" ht="45" x14ac:dyDescent="0.25">
      <c r="A2" s="13" t="s">
        <v>57</v>
      </c>
      <c r="B2" s="45">
        <f>AVERAGE(28.3,33.7)/100</f>
        <v>0.31</v>
      </c>
      <c r="C2" s="15" t="s">
        <v>58</v>
      </c>
      <c r="D2" s="46">
        <f>AVERAGE(2.2,3)*10^-2</f>
        <v>2.6000000000000002E-2</v>
      </c>
      <c r="E2" s="45">
        <v>1.44</v>
      </c>
      <c r="F2" s="46">
        <f>D2/(10^E2)</f>
        <v>9.4400294240226353E-4</v>
      </c>
      <c r="G2" s="15" t="s">
        <v>59</v>
      </c>
      <c r="H2" s="15" t="s">
        <v>60</v>
      </c>
    </row>
    <row r="3" spans="1:8" s="10" customFormat="1" ht="45" x14ac:dyDescent="0.25">
      <c r="A3" s="13" t="s">
        <v>61</v>
      </c>
      <c r="B3" s="45">
        <f>AVERAGE(24.7,27.7)/100</f>
        <v>0.26200000000000001</v>
      </c>
      <c r="C3" s="15" t="s">
        <v>58</v>
      </c>
      <c r="D3" s="46">
        <f>AVERAGE(1.6,2.2)*10^-2</f>
        <v>1.9000000000000003E-2</v>
      </c>
      <c r="E3" s="45">
        <v>2.5915499999999998</v>
      </c>
      <c r="F3" s="46">
        <f>D3/(10^E3)</f>
        <v>4.8663529099313446E-5</v>
      </c>
      <c r="G3" s="15" t="s">
        <v>59</v>
      </c>
      <c r="H3" s="15" t="s">
        <v>60</v>
      </c>
    </row>
    <row r="4" spans="1:8" s="10" customFormat="1" ht="45" x14ac:dyDescent="0.25">
      <c r="A4" s="13" t="s">
        <v>62</v>
      </c>
      <c r="B4" s="45">
        <f>AVERAGE(12.7,13.9)/100</f>
        <v>0.13300000000000001</v>
      </c>
      <c r="C4" s="15" t="s">
        <v>58</v>
      </c>
      <c r="D4" s="46">
        <f>AVERAGE(0.5,0.7)*10^-2</f>
        <v>6.0000000000000001E-3</v>
      </c>
      <c r="E4" s="45">
        <v>3.65</v>
      </c>
      <c r="F4" s="46">
        <f>D4/(10^E4)</f>
        <v>1.3432326831410028E-6</v>
      </c>
      <c r="G4" s="15" t="s">
        <v>59</v>
      </c>
      <c r="H4" s="15" t="s">
        <v>60</v>
      </c>
    </row>
    <row r="6" spans="1:8" x14ac:dyDescent="0.25">
      <c r="A6" s="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5A9F-11CC-4B06-9D77-7260C754F9E6}">
  <sheetPr filterMode="1"/>
  <dimension ref="A1:AC50"/>
  <sheetViews>
    <sheetView workbookViewId="0">
      <pane ySplit="1" topLeftCell="A2" activePane="bottomLeft" state="frozen"/>
      <selection activeCell="X1" sqref="X1"/>
      <selection pane="bottomLeft" activeCell="B8" sqref="B8"/>
    </sheetView>
  </sheetViews>
  <sheetFormatPr defaultColWidth="8.85546875" defaultRowHeight="15" x14ac:dyDescent="0.25"/>
  <cols>
    <col min="1" max="1" width="17.7109375" style="11" customWidth="1"/>
    <col min="2" max="2" width="28" style="11" customWidth="1"/>
    <col min="3" max="3" width="19.140625" style="11" customWidth="1"/>
    <col min="4" max="4" width="13.85546875" style="11" customWidth="1"/>
    <col min="5" max="5" width="13.28515625" style="11" customWidth="1"/>
    <col min="6" max="6" width="14.7109375" style="11" customWidth="1"/>
    <col min="7" max="7" width="12.42578125" style="11" customWidth="1"/>
    <col min="8" max="8" width="19.7109375" style="11" customWidth="1"/>
    <col min="9" max="9" width="11.7109375" style="11" customWidth="1"/>
    <col min="10" max="10" width="8.85546875" style="11"/>
    <col min="11" max="13" width="0" style="11" hidden="1" customWidth="1"/>
    <col min="14" max="15" width="8.85546875" style="11"/>
    <col min="16" max="20" width="10.7109375" style="11" customWidth="1"/>
    <col min="21" max="21" width="8.85546875" style="11"/>
    <col min="22" max="22" width="10.5703125" style="11" customWidth="1"/>
    <col min="23" max="23" width="11.7109375" style="11" customWidth="1"/>
    <col min="24" max="24" width="10.28515625" style="11" customWidth="1"/>
    <col min="25" max="25" width="15.7109375" style="11" customWidth="1"/>
    <col min="26" max="26" width="18" style="11" customWidth="1"/>
    <col min="27" max="27" width="11.7109375" style="40" customWidth="1"/>
    <col min="28" max="16384" width="8.85546875" style="11"/>
  </cols>
  <sheetData>
    <row r="1" spans="1:29" s="27" customFormat="1" ht="45" x14ac:dyDescent="0.25">
      <c r="A1" s="39" t="s">
        <v>64</v>
      </c>
      <c r="B1" s="39" t="s">
        <v>65</v>
      </c>
      <c r="C1" s="39" t="s">
        <v>66</v>
      </c>
      <c r="D1" s="39" t="s">
        <v>67</v>
      </c>
      <c r="E1" s="39" t="s">
        <v>13</v>
      </c>
      <c r="F1" s="39" t="s">
        <v>68</v>
      </c>
      <c r="G1" s="39" t="s">
        <v>69</v>
      </c>
      <c r="H1" s="39" t="s">
        <v>70</v>
      </c>
      <c r="I1" s="39" t="s">
        <v>71</v>
      </c>
      <c r="J1" s="39" t="s">
        <v>72</v>
      </c>
      <c r="K1" s="39" t="s">
        <v>73</v>
      </c>
      <c r="L1" s="39" t="s">
        <v>74</v>
      </c>
      <c r="M1" s="39" t="s">
        <v>75</v>
      </c>
      <c r="N1" s="39" t="s">
        <v>76</v>
      </c>
      <c r="O1" s="39" t="s">
        <v>77</v>
      </c>
      <c r="P1" s="39" t="s">
        <v>78</v>
      </c>
      <c r="Q1" s="39" t="s">
        <v>79</v>
      </c>
      <c r="R1" s="39" t="s">
        <v>80</v>
      </c>
      <c r="S1" s="39" t="s">
        <v>81</v>
      </c>
      <c r="T1" s="39" t="s">
        <v>82</v>
      </c>
      <c r="U1" s="39" t="s">
        <v>83</v>
      </c>
      <c r="V1" s="39" t="s">
        <v>84</v>
      </c>
      <c r="W1" s="39" t="s">
        <v>85</v>
      </c>
      <c r="X1" s="39" t="s">
        <v>86</v>
      </c>
      <c r="Y1" s="25" t="s">
        <v>87</v>
      </c>
      <c r="Z1" s="25" t="s">
        <v>88</v>
      </c>
      <c r="AA1" s="23" t="s">
        <v>89</v>
      </c>
    </row>
    <row r="2" spans="1:29" x14ac:dyDescent="0.25">
      <c r="A2" s="14" t="s">
        <v>57</v>
      </c>
      <c r="B2" s="14" t="s">
        <v>90</v>
      </c>
      <c r="C2" s="14" t="s">
        <v>91</v>
      </c>
      <c r="D2" s="14" t="s">
        <v>35</v>
      </c>
      <c r="E2" s="14" t="s">
        <v>92</v>
      </c>
      <c r="F2" s="14" t="s">
        <v>93</v>
      </c>
      <c r="G2" s="14" t="s">
        <v>94</v>
      </c>
      <c r="H2" s="14" t="s">
        <v>95</v>
      </c>
      <c r="I2" s="14"/>
      <c r="J2" s="14">
        <v>50</v>
      </c>
      <c r="K2" s="14">
        <v>0.81</v>
      </c>
      <c r="L2" s="14"/>
      <c r="M2" s="14" t="s">
        <v>96</v>
      </c>
      <c r="N2" s="14" t="s">
        <v>97</v>
      </c>
      <c r="O2" s="14"/>
      <c r="P2" s="14"/>
      <c r="Q2" s="14">
        <v>14.1476880607315</v>
      </c>
      <c r="R2" s="14">
        <v>224.292615596963</v>
      </c>
      <c r="S2" s="14"/>
      <c r="T2" s="14"/>
      <c r="U2" s="14">
        <v>693.58178053830204</v>
      </c>
      <c r="V2" s="14"/>
      <c r="W2" s="14">
        <v>86.266390614216704</v>
      </c>
      <c r="X2" s="14">
        <v>58.661145617667401</v>
      </c>
      <c r="Y2" s="14" t="s">
        <v>98</v>
      </c>
      <c r="Z2" s="14" t="s">
        <v>99</v>
      </c>
      <c r="AA2" s="53">
        <f>W2</f>
        <v>86.266390614216704</v>
      </c>
      <c r="AB2" s="40"/>
      <c r="AC2" s="40"/>
    </row>
    <row r="3" spans="1:29" x14ac:dyDescent="0.25">
      <c r="A3" s="33" t="s">
        <v>57</v>
      </c>
      <c r="B3" s="33" t="s">
        <v>90</v>
      </c>
      <c r="C3" s="33" t="s">
        <v>91</v>
      </c>
      <c r="D3" s="33" t="s">
        <v>38</v>
      </c>
      <c r="E3" s="33" t="s">
        <v>100</v>
      </c>
      <c r="F3" s="33" t="s">
        <v>101</v>
      </c>
      <c r="G3" s="33" t="s">
        <v>102</v>
      </c>
      <c r="H3" s="33" t="s">
        <v>95</v>
      </c>
      <c r="I3" s="33" t="s">
        <v>103</v>
      </c>
      <c r="J3" s="33">
        <v>31</v>
      </c>
      <c r="K3" s="33"/>
      <c r="L3" s="33"/>
      <c r="M3" s="33"/>
      <c r="N3" s="33" t="s">
        <v>97</v>
      </c>
      <c r="O3" s="33"/>
      <c r="P3" s="33"/>
      <c r="Q3" s="33"/>
      <c r="R3" s="33"/>
      <c r="S3" s="33"/>
      <c r="T3" s="33"/>
      <c r="U3" s="33">
        <v>53.783044667274403</v>
      </c>
      <c r="V3" s="33"/>
      <c r="W3" s="33">
        <v>3.4184138559708299</v>
      </c>
      <c r="X3" s="33"/>
      <c r="Y3" s="33" t="s">
        <v>104</v>
      </c>
      <c r="Z3" s="33" t="s">
        <v>105</v>
      </c>
      <c r="AA3" s="56">
        <f>W3</f>
        <v>3.4184138559708299</v>
      </c>
      <c r="AB3" s="40"/>
      <c r="AC3" s="40"/>
    </row>
    <row r="4" spans="1:29" customFormat="1" hidden="1" x14ac:dyDescent="0.25">
      <c r="A4" s="2" t="s">
        <v>57</v>
      </c>
      <c r="B4" s="2" t="s">
        <v>90</v>
      </c>
      <c r="C4" s="2" t="s">
        <v>91</v>
      </c>
      <c r="D4" s="2" t="s">
        <v>32</v>
      </c>
      <c r="E4" s="2" t="s">
        <v>33</v>
      </c>
      <c r="F4" s="2"/>
      <c r="G4" s="2" t="s">
        <v>106</v>
      </c>
      <c r="H4" s="2" t="s">
        <v>107</v>
      </c>
      <c r="I4" s="2" t="s">
        <v>108</v>
      </c>
      <c r="J4" s="2">
        <v>43</v>
      </c>
      <c r="K4" s="2">
        <v>0.47</v>
      </c>
      <c r="L4" s="2"/>
      <c r="M4" s="2"/>
      <c r="N4" s="2" t="s">
        <v>97</v>
      </c>
      <c r="O4" s="2"/>
      <c r="P4" s="2"/>
      <c r="Q4" s="2"/>
      <c r="R4" s="2"/>
      <c r="S4" s="2"/>
      <c r="T4" s="2"/>
      <c r="U4" s="2">
        <v>556.49717514124302</v>
      </c>
      <c r="V4" s="2"/>
      <c r="W4" s="2"/>
      <c r="X4" s="2"/>
      <c r="Y4" s="2" t="s">
        <v>109</v>
      </c>
      <c r="Z4" s="2" t="s">
        <v>105</v>
      </c>
      <c r="AA4" s="3" t="s">
        <v>110</v>
      </c>
      <c r="AB4" s="5"/>
      <c r="AC4" s="5"/>
    </row>
    <row r="5" spans="1:29" customFormat="1" hidden="1" x14ac:dyDescent="0.25">
      <c r="A5" s="2" t="s">
        <v>57</v>
      </c>
      <c r="B5" s="2" t="s">
        <v>90</v>
      </c>
      <c r="C5" s="2" t="s">
        <v>111</v>
      </c>
      <c r="D5" s="2" t="s">
        <v>26</v>
      </c>
      <c r="E5" s="2" t="s">
        <v>112</v>
      </c>
      <c r="F5" s="2" t="s">
        <v>113</v>
      </c>
      <c r="G5" s="2" t="s">
        <v>114</v>
      </c>
      <c r="H5" s="2" t="s">
        <v>95</v>
      </c>
      <c r="I5" s="2"/>
      <c r="J5" s="2">
        <v>100</v>
      </c>
      <c r="K5" s="2">
        <v>0.51</v>
      </c>
      <c r="L5" s="2">
        <v>4.5</v>
      </c>
      <c r="M5" s="2" t="s">
        <v>115</v>
      </c>
      <c r="N5" s="2" t="s">
        <v>97</v>
      </c>
      <c r="O5" s="2">
        <f>4.5/370.1</f>
        <v>1.2158875979465009E-2</v>
      </c>
      <c r="P5" s="2"/>
      <c r="Q5" s="2"/>
      <c r="R5" s="2"/>
      <c r="S5" s="2"/>
      <c r="T5" s="2">
        <f>60/370.1</f>
        <v>0.16211834639286679</v>
      </c>
      <c r="U5" s="2">
        <f>86/370.1</f>
        <v>0.23236962982977571</v>
      </c>
      <c r="V5" s="2"/>
      <c r="W5" s="2"/>
      <c r="X5" s="2"/>
      <c r="Y5" s="2" t="s">
        <v>116</v>
      </c>
      <c r="Z5" s="2" t="s">
        <v>105</v>
      </c>
      <c r="AA5" s="2" t="s">
        <v>110</v>
      </c>
    </row>
    <row r="6" spans="1:29" x14ac:dyDescent="0.25">
      <c r="A6" s="14" t="s">
        <v>57</v>
      </c>
      <c r="B6" s="14" t="s">
        <v>90</v>
      </c>
      <c r="C6" s="14" t="s">
        <v>117</v>
      </c>
      <c r="D6" s="14" t="s">
        <v>29</v>
      </c>
      <c r="E6" s="14" t="s">
        <v>118</v>
      </c>
      <c r="F6" s="14" t="s">
        <v>119</v>
      </c>
      <c r="G6" s="14" t="s">
        <v>102</v>
      </c>
      <c r="H6" s="14" t="s">
        <v>95</v>
      </c>
      <c r="I6" s="14" t="s">
        <v>120</v>
      </c>
      <c r="J6" s="14">
        <v>22</v>
      </c>
      <c r="K6" s="14">
        <v>1</v>
      </c>
      <c r="L6" s="14">
        <v>47</v>
      </c>
      <c r="M6" s="14" t="s">
        <v>97</v>
      </c>
      <c r="N6" s="14" t="s">
        <v>97</v>
      </c>
      <c r="O6" s="14">
        <v>20</v>
      </c>
      <c r="P6" s="14"/>
      <c r="Q6" s="14"/>
      <c r="R6" s="14"/>
      <c r="S6" s="14"/>
      <c r="T6" s="14"/>
      <c r="U6" s="14">
        <v>1070</v>
      </c>
      <c r="V6" s="14"/>
      <c r="W6" s="14">
        <v>130</v>
      </c>
      <c r="X6" s="14"/>
      <c r="Y6" s="14" t="s">
        <v>121</v>
      </c>
      <c r="Z6" s="14" t="s">
        <v>122</v>
      </c>
      <c r="AA6" s="54">
        <f>(W6*J6+W7*J7+W8*J8+W10*J10+W11*J11+W12*J12+W13*J13+W14*J14)/(SUM(J6,J7,J8,J10,J11,J12,J13,J14))</f>
        <v>110.14688688157786</v>
      </c>
      <c r="AB6" s="40"/>
      <c r="AC6" s="40"/>
    </row>
    <row r="7" spans="1:29" x14ac:dyDescent="0.25">
      <c r="A7" s="14" t="s">
        <v>57</v>
      </c>
      <c r="B7" s="14" t="s">
        <v>90</v>
      </c>
      <c r="C7" s="14" t="s">
        <v>123</v>
      </c>
      <c r="D7" s="14" t="s">
        <v>41</v>
      </c>
      <c r="E7" s="14" t="s">
        <v>124</v>
      </c>
      <c r="F7" s="14" t="s">
        <v>125</v>
      </c>
      <c r="G7" s="14" t="s">
        <v>106</v>
      </c>
      <c r="H7" s="14" t="s">
        <v>95</v>
      </c>
      <c r="I7" s="14"/>
      <c r="J7" s="14">
        <v>10</v>
      </c>
      <c r="K7" s="14"/>
      <c r="L7" s="14"/>
      <c r="M7" s="14"/>
      <c r="N7" s="14" t="s">
        <v>97</v>
      </c>
      <c r="O7" s="14">
        <v>218</v>
      </c>
      <c r="P7" s="14"/>
      <c r="Q7" s="14"/>
      <c r="R7" s="14"/>
      <c r="S7" s="14"/>
      <c r="T7" s="14"/>
      <c r="U7" s="14">
        <v>3821</v>
      </c>
      <c r="V7" s="14"/>
      <c r="W7" s="14">
        <v>861</v>
      </c>
      <c r="X7" s="14"/>
      <c r="Y7" s="14" t="s">
        <v>126</v>
      </c>
      <c r="Z7" s="14" t="s">
        <v>122</v>
      </c>
      <c r="AA7" s="54"/>
      <c r="AB7" s="40"/>
      <c r="AC7" s="40"/>
    </row>
    <row r="8" spans="1:29" x14ac:dyDescent="0.25">
      <c r="A8" s="14" t="s">
        <v>57</v>
      </c>
      <c r="B8" s="14" t="s">
        <v>90</v>
      </c>
      <c r="C8" s="14" t="s">
        <v>91</v>
      </c>
      <c r="D8" s="14" t="s">
        <v>38</v>
      </c>
      <c r="E8" s="14" t="s">
        <v>100</v>
      </c>
      <c r="F8" s="14" t="s">
        <v>101</v>
      </c>
      <c r="G8" s="14" t="s">
        <v>102</v>
      </c>
      <c r="H8" s="14" t="s">
        <v>95</v>
      </c>
      <c r="I8" s="14" t="s">
        <v>127</v>
      </c>
      <c r="J8" s="14">
        <v>51</v>
      </c>
      <c r="K8" s="14"/>
      <c r="L8" s="14"/>
      <c r="M8" s="14"/>
      <c r="N8" s="14" t="s">
        <v>97</v>
      </c>
      <c r="O8" s="14"/>
      <c r="P8" s="14"/>
      <c r="Q8" s="14"/>
      <c r="R8" s="14"/>
      <c r="S8" s="14"/>
      <c r="T8" s="14"/>
      <c r="U8" s="14">
        <v>86.599817684594399</v>
      </c>
      <c r="V8" s="14"/>
      <c r="W8" s="14">
        <v>2.9626253418413899</v>
      </c>
      <c r="X8" s="14"/>
      <c r="Y8" s="14" t="s">
        <v>122</v>
      </c>
      <c r="Z8" s="14" t="s">
        <v>122</v>
      </c>
      <c r="AA8" s="54"/>
      <c r="AB8" s="40"/>
      <c r="AC8" s="40"/>
    </row>
    <row r="9" spans="1:29" customFormat="1" hidden="1" x14ac:dyDescent="0.25">
      <c r="A9" s="1" t="s">
        <v>57</v>
      </c>
      <c r="B9" s="1" t="s">
        <v>90</v>
      </c>
      <c r="C9" s="1" t="s">
        <v>91</v>
      </c>
      <c r="D9" s="1" t="s">
        <v>44</v>
      </c>
      <c r="E9" s="1" t="s">
        <v>128</v>
      </c>
      <c r="F9" s="1" t="s">
        <v>129</v>
      </c>
      <c r="G9" s="1" t="s">
        <v>130</v>
      </c>
      <c r="H9" s="1" t="s">
        <v>95</v>
      </c>
      <c r="I9" s="1"/>
      <c r="J9" s="1">
        <v>61</v>
      </c>
      <c r="K9" s="1"/>
      <c r="L9" s="1"/>
      <c r="M9" s="1"/>
      <c r="N9" s="1" t="s">
        <v>97</v>
      </c>
      <c r="O9" s="1"/>
      <c r="P9" s="1"/>
      <c r="Q9" s="1"/>
      <c r="R9" s="1"/>
      <c r="S9" s="1"/>
      <c r="T9" s="1"/>
      <c r="U9" s="1">
        <v>76.612903225806505</v>
      </c>
      <c r="V9" s="1"/>
      <c r="W9" s="1"/>
      <c r="X9" s="1"/>
      <c r="Y9" s="1" t="s">
        <v>122</v>
      </c>
      <c r="Z9" s="1" t="s">
        <v>122</v>
      </c>
      <c r="AA9" s="4"/>
      <c r="AB9" s="5"/>
      <c r="AC9" s="5"/>
    </row>
    <row r="10" spans="1:29" x14ac:dyDescent="0.25">
      <c r="A10" s="14" t="s">
        <v>57</v>
      </c>
      <c r="B10" s="14" t="s">
        <v>90</v>
      </c>
      <c r="C10" s="14" t="s">
        <v>91</v>
      </c>
      <c r="D10" s="14" t="s">
        <v>47</v>
      </c>
      <c r="E10" s="14" t="s">
        <v>131</v>
      </c>
      <c r="F10" s="14" t="s">
        <v>132</v>
      </c>
      <c r="G10" s="14" t="s">
        <v>133</v>
      </c>
      <c r="H10" s="14" t="s">
        <v>95</v>
      </c>
      <c r="I10" s="14" t="s">
        <v>134</v>
      </c>
      <c r="J10" s="14">
        <v>51</v>
      </c>
      <c r="K10" s="14">
        <v>1</v>
      </c>
      <c r="L10" s="14">
        <v>1</v>
      </c>
      <c r="M10" s="14" t="s">
        <v>97</v>
      </c>
      <c r="N10" s="14" t="s">
        <v>97</v>
      </c>
      <c r="O10" s="14">
        <v>16.5</v>
      </c>
      <c r="P10" s="14">
        <v>44.7</v>
      </c>
      <c r="Q10" s="14">
        <v>60.8</v>
      </c>
      <c r="R10" s="14">
        <v>185</v>
      </c>
      <c r="S10" s="14">
        <v>344</v>
      </c>
      <c r="T10" s="14">
        <v>372</v>
      </c>
      <c r="U10" s="14">
        <v>424</v>
      </c>
      <c r="V10" s="14"/>
      <c r="W10" s="14">
        <v>93.7</v>
      </c>
      <c r="X10" s="14">
        <v>103</v>
      </c>
      <c r="Y10" s="14" t="s">
        <v>135</v>
      </c>
      <c r="Z10" s="14" t="s">
        <v>122</v>
      </c>
      <c r="AA10" s="54"/>
      <c r="AB10" s="40"/>
      <c r="AC10" s="40"/>
    </row>
    <row r="11" spans="1:29" x14ac:dyDescent="0.25">
      <c r="A11" s="14" t="s">
        <v>57</v>
      </c>
      <c r="B11" s="14" t="s">
        <v>90</v>
      </c>
      <c r="C11" s="14" t="s">
        <v>111</v>
      </c>
      <c r="D11" s="14" t="s">
        <v>29</v>
      </c>
      <c r="E11" s="14" t="s">
        <v>118</v>
      </c>
      <c r="F11" s="14" t="s">
        <v>136</v>
      </c>
      <c r="G11" s="14" t="s">
        <v>102</v>
      </c>
      <c r="H11" s="14" t="s">
        <v>95</v>
      </c>
      <c r="I11" s="14" t="s">
        <v>134</v>
      </c>
      <c r="J11" s="14">
        <v>30</v>
      </c>
      <c r="K11" s="14">
        <v>1</v>
      </c>
      <c r="L11" s="14">
        <v>47</v>
      </c>
      <c r="M11" s="14" t="s">
        <v>97</v>
      </c>
      <c r="N11" s="14" t="s">
        <v>97</v>
      </c>
      <c r="O11" s="14">
        <v>40</v>
      </c>
      <c r="P11" s="14"/>
      <c r="Q11" s="14">
        <v>140</v>
      </c>
      <c r="R11" s="14">
        <v>330</v>
      </c>
      <c r="S11" s="14"/>
      <c r="T11" s="14"/>
      <c r="U11" s="14">
        <v>750</v>
      </c>
      <c r="V11" s="14">
        <v>260</v>
      </c>
      <c r="W11" s="14">
        <v>210</v>
      </c>
      <c r="X11" s="14"/>
      <c r="Y11" s="14" t="s">
        <v>137</v>
      </c>
      <c r="Z11" s="14" t="s">
        <v>122</v>
      </c>
      <c r="AA11" s="54"/>
      <c r="AB11" s="40"/>
      <c r="AC11" s="40"/>
    </row>
    <row r="12" spans="1:29" x14ac:dyDescent="0.25">
      <c r="A12" s="14" t="s">
        <v>57</v>
      </c>
      <c r="B12" s="14" t="s">
        <v>90</v>
      </c>
      <c r="C12" s="14" t="s">
        <v>111</v>
      </c>
      <c r="D12" s="14" t="s">
        <v>29</v>
      </c>
      <c r="E12" s="14" t="s">
        <v>118</v>
      </c>
      <c r="F12" s="14" t="s">
        <v>136</v>
      </c>
      <c r="G12" s="14" t="s">
        <v>102</v>
      </c>
      <c r="H12" s="14" t="s">
        <v>95</v>
      </c>
      <c r="I12" s="14" t="s">
        <v>138</v>
      </c>
      <c r="J12" s="14">
        <v>30</v>
      </c>
      <c r="K12" s="14">
        <v>1</v>
      </c>
      <c r="L12" s="14">
        <v>47</v>
      </c>
      <c r="M12" s="14" t="s">
        <v>97</v>
      </c>
      <c r="N12" s="14" t="s">
        <v>97</v>
      </c>
      <c r="O12" s="14">
        <v>40</v>
      </c>
      <c r="P12" s="14"/>
      <c r="Q12" s="14">
        <v>90</v>
      </c>
      <c r="R12" s="14">
        <v>250</v>
      </c>
      <c r="S12" s="14"/>
      <c r="T12" s="14"/>
      <c r="U12" s="14">
        <v>560</v>
      </c>
      <c r="V12" s="14">
        <v>170</v>
      </c>
      <c r="W12" s="14">
        <v>120</v>
      </c>
      <c r="X12" s="14"/>
      <c r="Y12" s="14" t="s">
        <v>137</v>
      </c>
      <c r="Z12" s="14" t="s">
        <v>122</v>
      </c>
      <c r="AA12" s="54"/>
      <c r="AB12" s="40"/>
      <c r="AC12" s="40"/>
    </row>
    <row r="13" spans="1:29" x14ac:dyDescent="0.25">
      <c r="A13" s="14" t="s">
        <v>57</v>
      </c>
      <c r="B13" s="14" t="s">
        <v>90</v>
      </c>
      <c r="C13" s="14" t="s">
        <v>111</v>
      </c>
      <c r="D13" s="14" t="s">
        <v>29</v>
      </c>
      <c r="E13" s="14" t="s">
        <v>118</v>
      </c>
      <c r="F13" s="14" t="s">
        <v>136</v>
      </c>
      <c r="G13" s="14" t="s">
        <v>102</v>
      </c>
      <c r="H13" s="14" t="s">
        <v>95</v>
      </c>
      <c r="I13" s="14" t="s">
        <v>139</v>
      </c>
      <c r="J13" s="14">
        <v>30</v>
      </c>
      <c r="K13" s="14">
        <v>1</v>
      </c>
      <c r="L13" s="14">
        <v>15</v>
      </c>
      <c r="M13" s="14" t="s">
        <v>97</v>
      </c>
      <c r="N13" s="14" t="s">
        <v>97</v>
      </c>
      <c r="O13" s="14">
        <v>10</v>
      </c>
      <c r="P13" s="14"/>
      <c r="Q13" s="14">
        <v>20</v>
      </c>
      <c r="R13" s="14">
        <v>60</v>
      </c>
      <c r="S13" s="14"/>
      <c r="T13" s="14"/>
      <c r="U13" s="14">
        <v>170</v>
      </c>
      <c r="V13" s="14">
        <v>50</v>
      </c>
      <c r="W13" s="14">
        <v>30</v>
      </c>
      <c r="X13" s="14"/>
      <c r="Y13" s="14" t="s">
        <v>137</v>
      </c>
      <c r="Z13" s="14" t="s">
        <v>122</v>
      </c>
      <c r="AA13" s="54"/>
      <c r="AB13" s="40"/>
      <c r="AC13" s="40"/>
    </row>
    <row r="14" spans="1:29" x14ac:dyDescent="0.25">
      <c r="A14" s="14" t="s">
        <v>57</v>
      </c>
      <c r="B14" s="14" t="s">
        <v>90</v>
      </c>
      <c r="C14" s="14" t="s">
        <v>91</v>
      </c>
      <c r="D14" s="14" t="s">
        <v>47</v>
      </c>
      <c r="E14" s="14" t="s">
        <v>131</v>
      </c>
      <c r="F14" s="14" t="s">
        <v>132</v>
      </c>
      <c r="G14" s="14" t="s">
        <v>133</v>
      </c>
      <c r="H14" s="14" t="s">
        <v>95</v>
      </c>
      <c r="I14" s="14" t="s">
        <v>140</v>
      </c>
      <c r="J14" s="14">
        <v>51</v>
      </c>
      <c r="K14" s="14">
        <v>0.98</v>
      </c>
      <c r="L14" s="14">
        <v>1</v>
      </c>
      <c r="M14" s="14" t="s">
        <v>97</v>
      </c>
      <c r="N14" s="14" t="s">
        <v>97</v>
      </c>
      <c r="O14" s="41">
        <v>1</v>
      </c>
      <c r="P14" s="41">
        <v>24.7</v>
      </c>
      <c r="Q14" s="41">
        <v>38.4</v>
      </c>
      <c r="R14" s="41">
        <v>98.9</v>
      </c>
      <c r="S14" s="41">
        <v>362</v>
      </c>
      <c r="T14" s="41">
        <v>589</v>
      </c>
      <c r="U14" s="41">
        <v>1710</v>
      </c>
      <c r="V14" s="41"/>
      <c r="W14" s="41">
        <v>60.6</v>
      </c>
      <c r="X14" s="41">
        <v>68.7</v>
      </c>
      <c r="Y14" s="14" t="s">
        <v>135</v>
      </c>
      <c r="Z14" s="14" t="s">
        <v>122</v>
      </c>
      <c r="AA14" s="57"/>
    </row>
    <row r="15" spans="1:29" x14ac:dyDescent="0.25">
      <c r="A15" s="33" t="s">
        <v>61</v>
      </c>
      <c r="B15" s="33" t="s">
        <v>141</v>
      </c>
      <c r="C15" s="33" t="s">
        <v>91</v>
      </c>
      <c r="D15" s="33" t="s">
        <v>35</v>
      </c>
      <c r="E15" s="33" t="s">
        <v>92</v>
      </c>
      <c r="F15" s="33" t="s">
        <v>93</v>
      </c>
      <c r="G15" s="33" t="s">
        <v>94</v>
      </c>
      <c r="H15" s="33" t="s">
        <v>95</v>
      </c>
      <c r="I15" s="33"/>
      <c r="J15" s="33">
        <v>50</v>
      </c>
      <c r="K15" s="33">
        <v>0.48</v>
      </c>
      <c r="L15" s="33"/>
      <c r="M15" s="33" t="s">
        <v>96</v>
      </c>
      <c r="N15" s="33" t="s">
        <v>97</v>
      </c>
      <c r="O15" s="33"/>
      <c r="P15" s="33"/>
      <c r="Q15" s="33">
        <v>1.0351966873706</v>
      </c>
      <c r="R15" s="33">
        <v>127.67425810904101</v>
      </c>
      <c r="S15" s="33"/>
      <c r="T15" s="33"/>
      <c r="U15" s="33">
        <v>2705.3140096618399</v>
      </c>
      <c r="V15" s="33"/>
      <c r="W15" s="33">
        <v>15.527950310559</v>
      </c>
      <c r="X15" s="33">
        <v>44.8585231193927</v>
      </c>
      <c r="Y15" s="33" t="s">
        <v>98</v>
      </c>
      <c r="Z15" s="33" t="s">
        <v>99</v>
      </c>
      <c r="AA15" s="55">
        <f>W15</f>
        <v>15.527950310559</v>
      </c>
      <c r="AB15" s="40"/>
      <c r="AC15" s="40"/>
    </row>
    <row r="16" spans="1:29" x14ac:dyDescent="0.25">
      <c r="A16" s="14" t="s">
        <v>61</v>
      </c>
      <c r="B16" s="14" t="s">
        <v>141</v>
      </c>
      <c r="C16" s="14" t="s">
        <v>91</v>
      </c>
      <c r="D16" s="14" t="s">
        <v>38</v>
      </c>
      <c r="E16" s="14" t="s">
        <v>100</v>
      </c>
      <c r="F16" s="14" t="s">
        <v>101</v>
      </c>
      <c r="G16" s="14" t="s">
        <v>102</v>
      </c>
      <c r="H16" s="14" t="s">
        <v>95</v>
      </c>
      <c r="I16" s="14" t="s">
        <v>103</v>
      </c>
      <c r="J16" s="14">
        <v>31</v>
      </c>
      <c r="K16" s="14"/>
      <c r="L16" s="14"/>
      <c r="M16" s="14"/>
      <c r="N16" s="14" t="s">
        <v>97</v>
      </c>
      <c r="O16" s="14"/>
      <c r="P16" s="14"/>
      <c r="Q16" s="14"/>
      <c r="R16" s="14"/>
      <c r="S16" s="14"/>
      <c r="T16" s="14"/>
      <c r="U16" s="14">
        <v>131.03919781221501</v>
      </c>
      <c r="V16" s="14"/>
      <c r="W16" s="14">
        <v>5.2415679124886099</v>
      </c>
      <c r="X16" s="14"/>
      <c r="Y16" s="14" t="s">
        <v>104</v>
      </c>
      <c r="Z16" s="14" t="s">
        <v>105</v>
      </c>
      <c r="AA16" s="54">
        <f>(W16*J16+W17*J17)/(SUM(J16:J17))</f>
        <v>53.573864951582308</v>
      </c>
      <c r="AB16" s="40"/>
      <c r="AC16" s="40"/>
    </row>
    <row r="17" spans="1:29" x14ac:dyDescent="0.25">
      <c r="A17" s="14" t="s">
        <v>61</v>
      </c>
      <c r="B17" s="14" t="s">
        <v>141</v>
      </c>
      <c r="C17" s="14" t="s">
        <v>91</v>
      </c>
      <c r="D17" s="14" t="s">
        <v>32</v>
      </c>
      <c r="E17" s="14" t="s">
        <v>33</v>
      </c>
      <c r="F17" s="14"/>
      <c r="G17" s="14" t="s">
        <v>106</v>
      </c>
      <c r="H17" s="14" t="s">
        <v>107</v>
      </c>
      <c r="I17" s="14" t="s">
        <v>108</v>
      </c>
      <c r="J17" s="14">
        <v>43</v>
      </c>
      <c r="K17" s="14">
        <v>0.69</v>
      </c>
      <c r="L17" s="14"/>
      <c r="M17" s="14"/>
      <c r="N17" s="14" t="s">
        <v>97</v>
      </c>
      <c r="O17" s="14"/>
      <c r="P17" s="14"/>
      <c r="Q17" s="14"/>
      <c r="R17" s="14"/>
      <c r="S17" s="14"/>
      <c r="T17" s="14"/>
      <c r="U17" s="14">
        <v>1502.8248587570599</v>
      </c>
      <c r="V17" s="14"/>
      <c r="W17" s="14">
        <v>88.418079096045204</v>
      </c>
      <c r="X17" s="14">
        <v>88.418079096045204</v>
      </c>
      <c r="Y17" s="14" t="s">
        <v>109</v>
      </c>
      <c r="Z17" s="14" t="s">
        <v>105</v>
      </c>
      <c r="AA17" s="54" t="s">
        <v>110</v>
      </c>
      <c r="AB17" s="40"/>
      <c r="AC17" s="40"/>
    </row>
    <row r="18" spans="1:29" customFormat="1" hidden="1" x14ac:dyDescent="0.25">
      <c r="A18" s="1" t="s">
        <v>61</v>
      </c>
      <c r="B18" s="1" t="s">
        <v>141</v>
      </c>
      <c r="C18" s="1" t="s">
        <v>111</v>
      </c>
      <c r="D18" s="1" t="s">
        <v>26</v>
      </c>
      <c r="E18" s="1" t="s">
        <v>112</v>
      </c>
      <c r="F18" s="1" t="s">
        <v>113</v>
      </c>
      <c r="G18" s="1" t="s">
        <v>114</v>
      </c>
      <c r="H18" s="1" t="s">
        <v>95</v>
      </c>
      <c r="I18" s="1"/>
      <c r="J18" s="1">
        <v>100</v>
      </c>
      <c r="K18" s="1">
        <v>0.47</v>
      </c>
      <c r="L18" s="1">
        <v>16</v>
      </c>
      <c r="M18" s="1" t="s">
        <v>115</v>
      </c>
      <c r="N18" s="1" t="s">
        <v>97</v>
      </c>
      <c r="O18" s="1">
        <f>16/370.1</f>
        <v>4.3231559038097805E-2</v>
      </c>
      <c r="P18" s="1"/>
      <c r="Q18" s="1"/>
      <c r="R18" s="1"/>
      <c r="S18" s="1"/>
      <c r="T18" s="1">
        <f>870/370.1</f>
        <v>2.3507160226965684</v>
      </c>
      <c r="U18" s="1">
        <f>1500/370.1</f>
        <v>4.0529586598216696</v>
      </c>
      <c r="V18" s="1"/>
      <c r="W18" s="1"/>
      <c r="X18" s="1"/>
      <c r="Y18" s="1" t="s">
        <v>116</v>
      </c>
      <c r="Z18" s="1" t="s">
        <v>105</v>
      </c>
      <c r="AA18" s="1" t="s">
        <v>110</v>
      </c>
    </row>
    <row r="19" spans="1:29" customFormat="1" hidden="1" x14ac:dyDescent="0.25">
      <c r="A19" s="2" t="s">
        <v>61</v>
      </c>
      <c r="B19" s="2" t="s">
        <v>141</v>
      </c>
      <c r="C19" s="2" t="s">
        <v>123</v>
      </c>
      <c r="D19" s="2" t="s">
        <v>16</v>
      </c>
      <c r="E19" s="2" t="s">
        <v>142</v>
      </c>
      <c r="F19" s="2" t="s">
        <v>143</v>
      </c>
      <c r="G19" s="2" t="s">
        <v>106</v>
      </c>
      <c r="H19" s="2" t="s">
        <v>95</v>
      </c>
      <c r="I19" s="2" t="s">
        <v>144</v>
      </c>
      <c r="J19" s="2">
        <v>9</v>
      </c>
      <c r="K19" s="2"/>
      <c r="L19" s="2">
        <v>10000</v>
      </c>
      <c r="M19" s="2" t="s">
        <v>96</v>
      </c>
      <c r="N19" s="2" t="s">
        <v>97</v>
      </c>
      <c r="O19" s="2"/>
      <c r="P19" s="2"/>
      <c r="Q19" s="2"/>
      <c r="R19" s="2"/>
      <c r="S19" s="2"/>
      <c r="T19" s="2"/>
      <c r="U19" s="2"/>
      <c r="V19" s="2">
        <v>40900</v>
      </c>
      <c r="W19" s="2"/>
      <c r="X19" s="2"/>
      <c r="Y19" s="2" t="s">
        <v>145</v>
      </c>
      <c r="Z19" s="2" t="s">
        <v>122</v>
      </c>
      <c r="AA19" s="3">
        <f>(W24*J24+W25*J25)/SUM(J24,J25)</f>
        <v>179.82553013434554</v>
      </c>
      <c r="AB19" s="5"/>
      <c r="AC19" s="5"/>
    </row>
    <row r="20" spans="1:29" customFormat="1" hidden="1" x14ac:dyDescent="0.25">
      <c r="A20" s="2" t="s">
        <v>61</v>
      </c>
      <c r="B20" s="2" t="s">
        <v>141</v>
      </c>
      <c r="C20" s="2" t="s">
        <v>123</v>
      </c>
      <c r="D20" s="2" t="s">
        <v>16</v>
      </c>
      <c r="E20" s="2" t="s">
        <v>142</v>
      </c>
      <c r="F20" s="2" t="s">
        <v>143</v>
      </c>
      <c r="G20" s="2" t="s">
        <v>106</v>
      </c>
      <c r="H20" s="2" t="s">
        <v>95</v>
      </c>
      <c r="I20" s="2" t="s">
        <v>146</v>
      </c>
      <c r="J20" s="2">
        <v>9</v>
      </c>
      <c r="K20" s="2"/>
      <c r="L20" s="2">
        <v>10000</v>
      </c>
      <c r="M20" s="2" t="s">
        <v>96</v>
      </c>
      <c r="N20" s="2" t="s">
        <v>97</v>
      </c>
      <c r="O20" s="2"/>
      <c r="P20" s="2"/>
      <c r="Q20" s="2"/>
      <c r="R20" s="2"/>
      <c r="S20" s="2"/>
      <c r="T20" s="2"/>
      <c r="U20" s="2"/>
      <c r="V20" s="2">
        <v>155</v>
      </c>
      <c r="W20" s="2"/>
      <c r="X20" s="2"/>
      <c r="Y20" s="2" t="s">
        <v>145</v>
      </c>
      <c r="Z20" s="2" t="s">
        <v>122</v>
      </c>
      <c r="AA20" s="3"/>
      <c r="AB20" s="5"/>
      <c r="AC20" s="5"/>
    </row>
    <row r="21" spans="1:29" customFormat="1" hidden="1" x14ac:dyDescent="0.25">
      <c r="A21" s="2" t="s">
        <v>61</v>
      </c>
      <c r="B21" s="2" t="s">
        <v>141</v>
      </c>
      <c r="C21" s="2" t="s">
        <v>123</v>
      </c>
      <c r="D21" s="2" t="s">
        <v>16</v>
      </c>
      <c r="E21" s="2" t="s">
        <v>142</v>
      </c>
      <c r="F21" s="2" t="s">
        <v>143</v>
      </c>
      <c r="G21" s="2" t="s">
        <v>106</v>
      </c>
      <c r="H21" s="2" t="s">
        <v>95</v>
      </c>
      <c r="I21" s="2" t="s">
        <v>147</v>
      </c>
      <c r="J21" s="2">
        <v>9</v>
      </c>
      <c r="K21" s="2"/>
      <c r="L21" s="2">
        <v>10000</v>
      </c>
      <c r="M21" s="2" t="s">
        <v>96</v>
      </c>
      <c r="N21" s="2" t="s">
        <v>97</v>
      </c>
      <c r="O21" s="2"/>
      <c r="P21" s="2"/>
      <c r="Q21" s="2"/>
      <c r="R21" s="2"/>
      <c r="S21" s="2"/>
      <c r="T21" s="2"/>
      <c r="U21" s="2"/>
      <c r="V21" s="2">
        <v>17500</v>
      </c>
      <c r="W21" s="2"/>
      <c r="X21" s="2"/>
      <c r="Y21" s="2" t="s">
        <v>145</v>
      </c>
      <c r="Z21" s="2" t="s">
        <v>122</v>
      </c>
      <c r="AA21" s="3"/>
      <c r="AB21" s="5"/>
      <c r="AC21" s="5"/>
    </row>
    <row r="22" spans="1:29" customFormat="1" hidden="1" x14ac:dyDescent="0.25">
      <c r="A22" s="2" t="s">
        <v>61</v>
      </c>
      <c r="B22" s="2" t="s">
        <v>141</v>
      </c>
      <c r="C22" s="2" t="s">
        <v>123</v>
      </c>
      <c r="D22" s="2" t="s">
        <v>16</v>
      </c>
      <c r="E22" s="2" t="s">
        <v>142</v>
      </c>
      <c r="F22" s="2" t="s">
        <v>143</v>
      </c>
      <c r="G22" s="2" t="s">
        <v>106</v>
      </c>
      <c r="H22" s="2" t="s">
        <v>95</v>
      </c>
      <c r="I22" s="2" t="s">
        <v>148</v>
      </c>
      <c r="J22" s="2">
        <v>9</v>
      </c>
      <c r="K22" s="2"/>
      <c r="L22" s="2">
        <v>10000</v>
      </c>
      <c r="M22" s="2" t="s">
        <v>96</v>
      </c>
      <c r="N22" s="2" t="s">
        <v>97</v>
      </c>
      <c r="O22" s="2"/>
      <c r="P22" s="2"/>
      <c r="Q22" s="2"/>
      <c r="R22" s="2"/>
      <c r="S22" s="2"/>
      <c r="T22" s="2"/>
      <c r="U22" s="2"/>
      <c r="V22" s="2">
        <v>40</v>
      </c>
      <c r="W22" s="2"/>
      <c r="X22" s="2"/>
      <c r="Y22" s="2" t="s">
        <v>145</v>
      </c>
      <c r="Z22" s="2" t="s">
        <v>122</v>
      </c>
      <c r="AA22" s="3"/>
      <c r="AB22" s="5"/>
      <c r="AC22" s="5"/>
    </row>
    <row r="23" spans="1:29" customFormat="1" hidden="1" x14ac:dyDescent="0.25">
      <c r="A23" s="2" t="s">
        <v>61</v>
      </c>
      <c r="B23" s="2" t="s">
        <v>141</v>
      </c>
      <c r="C23" s="2" t="s">
        <v>123</v>
      </c>
      <c r="D23" s="2" t="s">
        <v>16</v>
      </c>
      <c r="E23" s="2" t="s">
        <v>142</v>
      </c>
      <c r="F23" s="2" t="s">
        <v>143</v>
      </c>
      <c r="G23" s="2" t="s">
        <v>106</v>
      </c>
      <c r="H23" s="2" t="s">
        <v>95</v>
      </c>
      <c r="I23" s="2" t="s">
        <v>149</v>
      </c>
      <c r="J23" s="2">
        <v>9</v>
      </c>
      <c r="K23" s="2"/>
      <c r="L23" s="2">
        <v>10000</v>
      </c>
      <c r="M23" s="2" t="s">
        <v>96</v>
      </c>
      <c r="N23" s="2" t="s">
        <v>97</v>
      </c>
      <c r="O23" s="2"/>
      <c r="P23" s="2"/>
      <c r="Q23" s="2"/>
      <c r="R23" s="2"/>
      <c r="S23" s="2"/>
      <c r="T23" s="2"/>
      <c r="U23" s="2"/>
      <c r="V23" s="2">
        <v>19300</v>
      </c>
      <c r="W23" s="2"/>
      <c r="X23" s="2"/>
      <c r="Y23" s="2" t="s">
        <v>145</v>
      </c>
      <c r="Z23" s="2" t="s">
        <v>122</v>
      </c>
      <c r="AA23" s="3"/>
      <c r="AB23" s="5"/>
      <c r="AC23" s="5"/>
    </row>
    <row r="24" spans="1:29" x14ac:dyDescent="0.25">
      <c r="A24" s="33" t="s">
        <v>61</v>
      </c>
      <c r="B24" s="33" t="s">
        <v>141</v>
      </c>
      <c r="C24" s="33" t="s">
        <v>123</v>
      </c>
      <c r="D24" s="33" t="s">
        <v>41</v>
      </c>
      <c r="E24" s="33" t="s">
        <v>124</v>
      </c>
      <c r="F24" s="33" t="s">
        <v>125</v>
      </c>
      <c r="G24" s="33" t="s">
        <v>106</v>
      </c>
      <c r="H24" s="33" t="s">
        <v>95</v>
      </c>
      <c r="I24" s="33"/>
      <c r="J24" s="33">
        <v>10</v>
      </c>
      <c r="K24" s="33"/>
      <c r="L24" s="33"/>
      <c r="M24" s="33"/>
      <c r="N24" s="33" t="s">
        <v>97</v>
      </c>
      <c r="O24" s="33">
        <v>324</v>
      </c>
      <c r="P24" s="33"/>
      <c r="Q24" s="33"/>
      <c r="R24" s="33"/>
      <c r="S24" s="33"/>
      <c r="T24" s="33"/>
      <c r="U24" s="33">
        <v>3267</v>
      </c>
      <c r="V24" s="33"/>
      <c r="W24" s="33">
        <v>1058</v>
      </c>
      <c r="X24" s="33"/>
      <c r="Y24" s="33" t="s">
        <v>126</v>
      </c>
      <c r="Z24" s="33" t="s">
        <v>122</v>
      </c>
      <c r="AA24" s="56"/>
      <c r="AB24" s="40"/>
      <c r="AC24" s="40"/>
    </row>
    <row r="25" spans="1:29" x14ac:dyDescent="0.25">
      <c r="A25" s="33" t="s">
        <v>61</v>
      </c>
      <c r="B25" s="33" t="s">
        <v>141</v>
      </c>
      <c r="C25" s="33" t="s">
        <v>91</v>
      </c>
      <c r="D25" s="33" t="s">
        <v>38</v>
      </c>
      <c r="E25" s="33" t="s">
        <v>100</v>
      </c>
      <c r="F25" s="33" t="s">
        <v>101</v>
      </c>
      <c r="G25" s="33" t="s">
        <v>102</v>
      </c>
      <c r="H25" s="33" t="s">
        <v>95</v>
      </c>
      <c r="I25" s="33" t="s">
        <v>127</v>
      </c>
      <c r="J25" s="33">
        <v>51</v>
      </c>
      <c r="K25" s="33"/>
      <c r="L25" s="33"/>
      <c r="M25" s="33"/>
      <c r="N25" s="33" t="s">
        <v>97</v>
      </c>
      <c r="O25" s="33"/>
      <c r="P25" s="33"/>
      <c r="Q25" s="33"/>
      <c r="R25" s="33"/>
      <c r="S25" s="33"/>
      <c r="T25" s="33"/>
      <c r="U25" s="33">
        <v>98.450319051959895</v>
      </c>
      <c r="V25" s="33"/>
      <c r="W25" s="33">
        <v>7.6344576116681901</v>
      </c>
      <c r="X25" s="33"/>
      <c r="Y25" s="33" t="s">
        <v>122</v>
      </c>
      <c r="Z25" s="33" t="s">
        <v>122</v>
      </c>
      <c r="AA25" s="56"/>
      <c r="AB25" s="40"/>
      <c r="AC25" s="40"/>
    </row>
    <row r="26" spans="1:29" x14ac:dyDescent="0.25">
      <c r="A26" s="14" t="s">
        <v>150</v>
      </c>
      <c r="B26" s="14" t="s">
        <v>151</v>
      </c>
      <c r="C26" s="14" t="s">
        <v>117</v>
      </c>
      <c r="D26" s="14" t="s">
        <v>29</v>
      </c>
      <c r="E26" s="14" t="s">
        <v>118</v>
      </c>
      <c r="F26" s="14" t="s">
        <v>119</v>
      </c>
      <c r="G26" s="14" t="s">
        <v>102</v>
      </c>
      <c r="H26" s="14" t="s">
        <v>95</v>
      </c>
      <c r="I26" s="14" t="s">
        <v>120</v>
      </c>
      <c r="J26" s="14">
        <v>22</v>
      </c>
      <c r="K26" s="14">
        <v>1</v>
      </c>
      <c r="L26" s="14"/>
      <c r="M26" s="14" t="s">
        <v>97</v>
      </c>
      <c r="N26" s="14" t="s">
        <v>97</v>
      </c>
      <c r="O26" s="14">
        <v>30</v>
      </c>
      <c r="P26" s="14"/>
      <c r="Q26" s="14"/>
      <c r="R26" s="14"/>
      <c r="S26" s="14"/>
      <c r="T26" s="14"/>
      <c r="U26" s="14">
        <v>15190</v>
      </c>
      <c r="V26" s="14"/>
      <c r="W26" s="14">
        <v>340</v>
      </c>
      <c r="X26" s="14"/>
      <c r="Y26" s="14" t="s">
        <v>121</v>
      </c>
      <c r="Z26" s="14" t="s">
        <v>122</v>
      </c>
      <c r="AA26" s="54">
        <f>(W26*J26+W27*J27+W28*J28+W29*J29+W30*J30+W31*J31+W32*J32)/SUM(J26:J32)</f>
        <v>255.79335052164527</v>
      </c>
      <c r="AB26" s="40"/>
      <c r="AC26" s="40"/>
    </row>
    <row r="27" spans="1:29" x14ac:dyDescent="0.25">
      <c r="A27" s="14" t="s">
        <v>150</v>
      </c>
      <c r="B27" s="14" t="s">
        <v>151</v>
      </c>
      <c r="C27" s="14" t="s">
        <v>91</v>
      </c>
      <c r="D27" s="14" t="s">
        <v>44</v>
      </c>
      <c r="E27" s="14" t="s">
        <v>128</v>
      </c>
      <c r="F27" s="14" t="s">
        <v>129</v>
      </c>
      <c r="G27" s="14" t="s">
        <v>130</v>
      </c>
      <c r="H27" s="14" t="s">
        <v>95</v>
      </c>
      <c r="I27" s="14"/>
      <c r="J27" s="14">
        <v>55</v>
      </c>
      <c r="K27" s="14"/>
      <c r="L27" s="14"/>
      <c r="M27" s="14"/>
      <c r="N27" s="14" t="s">
        <v>97</v>
      </c>
      <c r="O27" s="14"/>
      <c r="P27" s="14"/>
      <c r="Q27" s="14"/>
      <c r="R27" s="14"/>
      <c r="S27" s="14"/>
      <c r="T27" s="14"/>
      <c r="U27" s="14">
        <v>263.10483870967698</v>
      </c>
      <c r="V27" s="14"/>
      <c r="W27" s="14">
        <v>37.298387096774199</v>
      </c>
      <c r="X27" s="14"/>
      <c r="Y27" s="14" t="s">
        <v>122</v>
      </c>
      <c r="Z27" s="14" t="s">
        <v>122</v>
      </c>
      <c r="AA27" s="54"/>
      <c r="AB27" s="40"/>
      <c r="AC27" s="40"/>
    </row>
    <row r="28" spans="1:29" x14ac:dyDescent="0.25">
      <c r="A28" s="14" t="s">
        <v>150</v>
      </c>
      <c r="B28" s="14" t="s">
        <v>151</v>
      </c>
      <c r="C28" s="14" t="s">
        <v>111</v>
      </c>
      <c r="D28" s="14" t="s">
        <v>29</v>
      </c>
      <c r="E28" s="14" t="s">
        <v>118</v>
      </c>
      <c r="F28" s="14" t="s">
        <v>136</v>
      </c>
      <c r="G28" s="14" t="s">
        <v>102</v>
      </c>
      <c r="H28" s="14" t="s">
        <v>95</v>
      </c>
      <c r="I28" s="14" t="s">
        <v>134</v>
      </c>
      <c r="J28" s="14">
        <v>30</v>
      </c>
      <c r="K28" s="14">
        <v>0.97599999999999998</v>
      </c>
      <c r="L28" s="14"/>
      <c r="M28" s="14" t="s">
        <v>97</v>
      </c>
      <c r="N28" s="14" t="s">
        <v>97</v>
      </c>
      <c r="O28" s="14"/>
      <c r="P28" s="14"/>
      <c r="Q28" s="14">
        <v>150</v>
      </c>
      <c r="R28" s="14">
        <v>600</v>
      </c>
      <c r="S28" s="14"/>
      <c r="T28" s="14"/>
      <c r="U28" s="14">
        <v>7610</v>
      </c>
      <c r="V28" s="14">
        <v>670</v>
      </c>
      <c r="W28" s="14">
        <v>340</v>
      </c>
      <c r="X28" s="14"/>
      <c r="Y28" s="14" t="s">
        <v>137</v>
      </c>
      <c r="Z28" s="14" t="s">
        <v>122</v>
      </c>
      <c r="AA28" s="54"/>
      <c r="AB28" s="40"/>
      <c r="AC28" s="40"/>
    </row>
    <row r="29" spans="1:29" x14ac:dyDescent="0.25">
      <c r="A29" s="14" t="s">
        <v>150</v>
      </c>
      <c r="B29" s="14" t="s">
        <v>151</v>
      </c>
      <c r="C29" s="14" t="s">
        <v>111</v>
      </c>
      <c r="D29" s="14" t="s">
        <v>29</v>
      </c>
      <c r="E29" s="14" t="s">
        <v>118</v>
      </c>
      <c r="F29" s="14" t="s">
        <v>136</v>
      </c>
      <c r="G29" s="14" t="s">
        <v>102</v>
      </c>
      <c r="H29" s="14" t="s">
        <v>95</v>
      </c>
      <c r="I29" s="14" t="s">
        <v>138</v>
      </c>
      <c r="J29" s="14">
        <v>30</v>
      </c>
      <c r="K29" s="14">
        <v>0.97599999999999998</v>
      </c>
      <c r="L29" s="14"/>
      <c r="M29" s="14" t="s">
        <v>97</v>
      </c>
      <c r="N29" s="14" t="s">
        <v>97</v>
      </c>
      <c r="O29" s="14"/>
      <c r="P29" s="14"/>
      <c r="Q29" s="14">
        <v>180</v>
      </c>
      <c r="R29" s="14">
        <v>500</v>
      </c>
      <c r="S29" s="14"/>
      <c r="T29" s="14"/>
      <c r="U29" s="14">
        <v>6290</v>
      </c>
      <c r="V29" s="14">
        <v>560</v>
      </c>
      <c r="W29" s="14">
        <v>310</v>
      </c>
      <c r="X29" s="14"/>
      <c r="Y29" s="14" t="s">
        <v>137</v>
      </c>
      <c r="Z29" s="14" t="s">
        <v>122</v>
      </c>
      <c r="AA29" s="54"/>
      <c r="AB29" s="40"/>
      <c r="AC29" s="40"/>
    </row>
    <row r="30" spans="1:29" x14ac:dyDescent="0.25">
      <c r="A30" s="14" t="s">
        <v>150</v>
      </c>
      <c r="B30" s="14" t="s">
        <v>151</v>
      </c>
      <c r="C30" s="14" t="s">
        <v>111</v>
      </c>
      <c r="D30" s="14" t="s">
        <v>29</v>
      </c>
      <c r="E30" s="14" t="s">
        <v>118</v>
      </c>
      <c r="F30" s="14" t="s">
        <v>136</v>
      </c>
      <c r="G30" s="14" t="s">
        <v>102</v>
      </c>
      <c r="H30" s="14" t="s">
        <v>95</v>
      </c>
      <c r="I30" s="14" t="s">
        <v>139</v>
      </c>
      <c r="J30" s="14">
        <v>30</v>
      </c>
      <c r="K30" s="14">
        <v>0.97599999999999998</v>
      </c>
      <c r="L30" s="14"/>
      <c r="M30" s="14" t="s">
        <v>97</v>
      </c>
      <c r="N30" s="14" t="s">
        <v>97</v>
      </c>
      <c r="O30" s="14"/>
      <c r="P30" s="14"/>
      <c r="Q30" s="14">
        <v>50</v>
      </c>
      <c r="R30" s="14">
        <v>160</v>
      </c>
      <c r="S30" s="14"/>
      <c r="T30" s="14"/>
      <c r="U30" s="14">
        <v>1230</v>
      </c>
      <c r="V30" s="14">
        <v>160</v>
      </c>
      <c r="W30" s="14">
        <v>90</v>
      </c>
      <c r="X30" s="14"/>
      <c r="Y30" s="14" t="s">
        <v>137</v>
      </c>
      <c r="Z30" s="14" t="s">
        <v>122</v>
      </c>
      <c r="AA30" s="54"/>
      <c r="AB30" s="40"/>
      <c r="AC30" s="40"/>
    </row>
    <row r="31" spans="1:29" x14ac:dyDescent="0.25">
      <c r="A31" s="14" t="s">
        <v>150</v>
      </c>
      <c r="B31" s="14" t="s">
        <v>151</v>
      </c>
      <c r="C31" s="14" t="s">
        <v>91</v>
      </c>
      <c r="D31" s="14" t="s">
        <v>47</v>
      </c>
      <c r="E31" s="14" t="s">
        <v>131</v>
      </c>
      <c r="F31" s="14" t="s">
        <v>132</v>
      </c>
      <c r="G31" s="14" t="s">
        <v>133</v>
      </c>
      <c r="H31" s="14" t="s">
        <v>95</v>
      </c>
      <c r="I31" s="14" t="s">
        <v>140</v>
      </c>
      <c r="J31" s="14">
        <v>51</v>
      </c>
      <c r="K31" s="14">
        <v>0.9</v>
      </c>
      <c r="L31" s="14">
        <v>0.5</v>
      </c>
      <c r="M31" s="14" t="s">
        <v>97</v>
      </c>
      <c r="N31" s="14" t="s">
        <v>97</v>
      </c>
      <c r="O31" s="14">
        <v>1.5</v>
      </c>
      <c r="P31" s="14">
        <v>43.8</v>
      </c>
      <c r="Q31" s="14">
        <v>79.5</v>
      </c>
      <c r="R31" s="14">
        <v>529</v>
      </c>
      <c r="S31" s="14">
        <v>1470</v>
      </c>
      <c r="T31" s="14">
        <v>1710</v>
      </c>
      <c r="U31" s="14">
        <v>7310</v>
      </c>
      <c r="V31" s="14"/>
      <c r="W31" s="14">
        <v>205</v>
      </c>
      <c r="X31" s="14">
        <v>173</v>
      </c>
      <c r="Y31" s="14" t="s">
        <v>135</v>
      </c>
      <c r="Z31" s="14" t="s">
        <v>122</v>
      </c>
      <c r="AA31" s="57"/>
    </row>
    <row r="32" spans="1:29" x14ac:dyDescent="0.25">
      <c r="A32" s="14" t="s">
        <v>150</v>
      </c>
      <c r="B32" s="14" t="s">
        <v>151</v>
      </c>
      <c r="C32" s="14" t="s">
        <v>91</v>
      </c>
      <c r="D32" s="14" t="s">
        <v>47</v>
      </c>
      <c r="E32" s="14" t="s">
        <v>131</v>
      </c>
      <c r="F32" s="14" t="s">
        <v>132</v>
      </c>
      <c r="G32" s="14" t="s">
        <v>133</v>
      </c>
      <c r="H32" s="14" t="s">
        <v>95</v>
      </c>
      <c r="I32" s="14" t="s">
        <v>134</v>
      </c>
      <c r="J32" s="14">
        <v>51</v>
      </c>
      <c r="K32" s="14">
        <v>0.92</v>
      </c>
      <c r="L32" s="14">
        <v>0.5</v>
      </c>
      <c r="M32" s="14" t="s">
        <v>97</v>
      </c>
      <c r="N32" s="14" t="s">
        <v>97</v>
      </c>
      <c r="O32" s="14">
        <v>1.5</v>
      </c>
      <c r="P32" s="14">
        <v>53.4</v>
      </c>
      <c r="Q32" s="14">
        <v>189</v>
      </c>
      <c r="R32" s="14">
        <v>972</v>
      </c>
      <c r="S32" s="14">
        <v>1540</v>
      </c>
      <c r="T32" s="14">
        <v>3180</v>
      </c>
      <c r="U32" s="14">
        <v>4740</v>
      </c>
      <c r="V32" s="14"/>
      <c r="W32" s="14">
        <v>522</v>
      </c>
      <c r="X32" s="14">
        <v>329</v>
      </c>
      <c r="Y32" s="14" t="s">
        <v>135</v>
      </c>
      <c r="Z32" s="14" t="s">
        <v>122</v>
      </c>
      <c r="AA32" s="57"/>
    </row>
    <row r="33" spans="1:29" x14ac:dyDescent="0.25">
      <c r="A33" s="33" t="s">
        <v>152</v>
      </c>
      <c r="B33" s="33" t="s">
        <v>153</v>
      </c>
      <c r="C33" s="33" t="s">
        <v>91</v>
      </c>
      <c r="D33" s="33" t="s">
        <v>35</v>
      </c>
      <c r="E33" s="33" t="s">
        <v>92</v>
      </c>
      <c r="F33" s="33" t="s">
        <v>93</v>
      </c>
      <c r="G33" s="33" t="s">
        <v>94</v>
      </c>
      <c r="H33" s="33" t="s">
        <v>95</v>
      </c>
      <c r="I33" s="33"/>
      <c r="J33" s="33">
        <v>50</v>
      </c>
      <c r="K33" s="33">
        <v>0.63</v>
      </c>
      <c r="L33" s="33"/>
      <c r="M33" s="33" t="s">
        <v>96</v>
      </c>
      <c r="N33" s="33" t="s">
        <v>97</v>
      </c>
      <c r="O33" s="33"/>
      <c r="P33" s="33"/>
      <c r="Q33" s="33">
        <v>5.5210489993098699</v>
      </c>
      <c r="R33" s="33">
        <v>75.914423740510699</v>
      </c>
      <c r="S33" s="33"/>
      <c r="T33" s="33"/>
      <c r="U33" s="33">
        <v>138.02622498274701</v>
      </c>
      <c r="V33" s="33"/>
      <c r="W33" s="33">
        <v>9.6618357487922708</v>
      </c>
      <c r="X33" s="33">
        <v>12.4223602484472</v>
      </c>
      <c r="Y33" s="33" t="s">
        <v>98</v>
      </c>
      <c r="Z33" s="33" t="s">
        <v>99</v>
      </c>
      <c r="AA33" s="55">
        <f>W33</f>
        <v>9.6618357487922708</v>
      </c>
      <c r="AB33" s="40"/>
      <c r="AC33" s="40"/>
    </row>
    <row r="34" spans="1:29" x14ac:dyDescent="0.25">
      <c r="A34" s="14" t="s">
        <v>152</v>
      </c>
      <c r="B34" s="14" t="s">
        <v>153</v>
      </c>
      <c r="C34" s="14" t="s">
        <v>91</v>
      </c>
      <c r="D34" s="14" t="s">
        <v>38</v>
      </c>
      <c r="E34" s="14" t="s">
        <v>100</v>
      </c>
      <c r="F34" s="14" t="s">
        <v>101</v>
      </c>
      <c r="G34" s="14" t="s">
        <v>102</v>
      </c>
      <c r="H34" s="14" t="s">
        <v>95</v>
      </c>
      <c r="I34" s="14" t="s">
        <v>103</v>
      </c>
      <c r="J34" s="14">
        <v>31</v>
      </c>
      <c r="K34" s="14"/>
      <c r="L34" s="14"/>
      <c r="M34" s="14"/>
      <c r="N34" s="14" t="s">
        <v>97</v>
      </c>
      <c r="O34" s="14"/>
      <c r="P34" s="14"/>
      <c r="Q34" s="14"/>
      <c r="R34" s="14"/>
      <c r="S34" s="14"/>
      <c r="T34" s="14"/>
      <c r="U34" s="14">
        <v>46.946216955332702</v>
      </c>
      <c r="V34" s="14"/>
      <c r="W34" s="14">
        <v>16.8641750227894</v>
      </c>
      <c r="X34" s="14"/>
      <c r="Y34" s="14" t="s">
        <v>104</v>
      </c>
      <c r="Z34" s="14" t="s">
        <v>105</v>
      </c>
      <c r="AA34" s="54">
        <f>(W34*J34+W35*J35)/(SUM(J34,J35))</f>
        <v>128.86194291876953</v>
      </c>
      <c r="AB34" s="40"/>
      <c r="AC34" s="40"/>
    </row>
    <row r="35" spans="1:29" x14ac:dyDescent="0.25">
      <c r="A35" s="14" t="s">
        <v>152</v>
      </c>
      <c r="B35" s="14" t="s">
        <v>153</v>
      </c>
      <c r="C35" s="14" t="s">
        <v>91</v>
      </c>
      <c r="D35" s="14" t="s">
        <v>32</v>
      </c>
      <c r="E35" s="14" t="s">
        <v>33</v>
      </c>
      <c r="F35" s="14"/>
      <c r="G35" s="14" t="s">
        <v>106</v>
      </c>
      <c r="H35" s="14" t="s">
        <v>107</v>
      </c>
      <c r="I35" s="14" t="s">
        <v>108</v>
      </c>
      <c r="J35" s="14">
        <v>43</v>
      </c>
      <c r="K35" s="14">
        <v>0.96</v>
      </c>
      <c r="L35" s="14"/>
      <c r="M35" s="14"/>
      <c r="N35" s="14" t="s">
        <v>97</v>
      </c>
      <c r="O35" s="14"/>
      <c r="P35" s="14"/>
      <c r="Q35" s="14"/>
      <c r="R35" s="14"/>
      <c r="S35" s="14"/>
      <c r="T35" s="14"/>
      <c r="U35" s="14">
        <v>1497.1751412429401</v>
      </c>
      <c r="V35" s="14"/>
      <c r="W35" s="14">
        <v>209.60451977401101</v>
      </c>
      <c r="X35" s="14">
        <v>209.60451977401101</v>
      </c>
      <c r="Y35" s="14" t="s">
        <v>109</v>
      </c>
      <c r="Z35" s="14" t="s">
        <v>105</v>
      </c>
      <c r="AA35" s="54" t="s">
        <v>110</v>
      </c>
      <c r="AB35" s="40"/>
      <c r="AC35" s="40"/>
    </row>
    <row r="36" spans="1:29" customFormat="1" hidden="1" x14ac:dyDescent="0.25">
      <c r="A36" s="1" t="s">
        <v>62</v>
      </c>
      <c r="B36" s="1" t="s">
        <v>153</v>
      </c>
      <c r="C36" s="1" t="s">
        <v>111</v>
      </c>
      <c r="D36" s="1" t="s">
        <v>26</v>
      </c>
      <c r="E36" s="1" t="s">
        <v>112</v>
      </c>
      <c r="F36" s="1" t="s">
        <v>113</v>
      </c>
      <c r="G36" s="1" t="s">
        <v>114</v>
      </c>
      <c r="H36" s="1" t="s">
        <v>95</v>
      </c>
      <c r="I36" s="1"/>
      <c r="J36" s="1">
        <v>100</v>
      </c>
      <c r="K36" s="1">
        <v>0.06</v>
      </c>
      <c r="L36" s="1">
        <v>83</v>
      </c>
      <c r="M36" s="1" t="s">
        <v>115</v>
      </c>
      <c r="N36" s="1" t="s">
        <v>97</v>
      </c>
      <c r="O36" s="1">
        <f>83/370.1</f>
        <v>0.22426371251013238</v>
      </c>
      <c r="P36" s="1"/>
      <c r="Q36" s="1"/>
      <c r="R36" s="1"/>
      <c r="S36" s="1"/>
      <c r="T36" s="1">
        <f>280/370.1</f>
        <v>0.75655228316671164</v>
      </c>
      <c r="U36" s="1">
        <f>1200/370.1</f>
        <v>3.2423669278573355</v>
      </c>
      <c r="V36" s="1"/>
      <c r="W36" s="1"/>
      <c r="X36" s="1"/>
      <c r="Y36" s="1" t="s">
        <v>116</v>
      </c>
      <c r="Z36" s="1" t="s">
        <v>105</v>
      </c>
      <c r="AA36" s="1" t="s">
        <v>110</v>
      </c>
    </row>
    <row r="37" spans="1:29" x14ac:dyDescent="0.25">
      <c r="A37" s="33" t="s">
        <v>152</v>
      </c>
      <c r="B37" s="33" t="s">
        <v>153</v>
      </c>
      <c r="C37" s="33" t="s">
        <v>123</v>
      </c>
      <c r="D37" s="33" t="s">
        <v>41</v>
      </c>
      <c r="E37" s="33" t="s">
        <v>124</v>
      </c>
      <c r="F37" s="33" t="s">
        <v>125</v>
      </c>
      <c r="G37" s="33" t="s">
        <v>106</v>
      </c>
      <c r="H37" s="33" t="s">
        <v>95</v>
      </c>
      <c r="I37" s="33"/>
      <c r="J37" s="33">
        <v>10</v>
      </c>
      <c r="K37" s="33"/>
      <c r="L37" s="33"/>
      <c r="M37" s="33"/>
      <c r="N37" s="33" t="s">
        <v>97</v>
      </c>
      <c r="O37" s="33">
        <v>421</v>
      </c>
      <c r="P37" s="33"/>
      <c r="Q37" s="33"/>
      <c r="R37" s="33"/>
      <c r="S37" s="33"/>
      <c r="T37" s="33"/>
      <c r="U37" s="33">
        <v>17723</v>
      </c>
      <c r="V37" s="33"/>
      <c r="W37" s="33">
        <v>1583</v>
      </c>
      <c r="X37" s="33"/>
      <c r="Y37" s="33" t="s">
        <v>126</v>
      </c>
      <c r="Z37" s="33" t="s">
        <v>122</v>
      </c>
      <c r="AA37" s="56">
        <f>(W37*J37+W38*J38+W40*J40+W41*J41+W42*J42+W43*J43)/(SUM(J37,J38,J40,J41,J42,J43))</f>
        <v>287.59994671987084</v>
      </c>
      <c r="AB37" s="40"/>
      <c r="AC37" s="40"/>
    </row>
    <row r="38" spans="1:29" x14ac:dyDescent="0.25">
      <c r="A38" s="33" t="s">
        <v>152</v>
      </c>
      <c r="B38" s="33" t="s">
        <v>153</v>
      </c>
      <c r="C38" s="33" t="s">
        <v>91</v>
      </c>
      <c r="D38" s="33" t="s">
        <v>38</v>
      </c>
      <c r="E38" s="33" t="s">
        <v>100</v>
      </c>
      <c r="F38" s="33" t="s">
        <v>101</v>
      </c>
      <c r="G38" s="33" t="s">
        <v>102</v>
      </c>
      <c r="H38" s="33" t="s">
        <v>95</v>
      </c>
      <c r="I38" s="33" t="s">
        <v>127</v>
      </c>
      <c r="J38" s="33">
        <v>51</v>
      </c>
      <c r="K38" s="33"/>
      <c r="L38" s="33"/>
      <c r="M38" s="33"/>
      <c r="N38" s="33" t="s">
        <v>97</v>
      </c>
      <c r="O38" s="33"/>
      <c r="P38" s="33"/>
      <c r="Q38" s="33"/>
      <c r="R38" s="33"/>
      <c r="S38" s="33"/>
      <c r="T38" s="33"/>
      <c r="U38" s="33">
        <v>139.01549680948</v>
      </c>
      <c r="V38" s="33"/>
      <c r="W38" s="33">
        <v>8.20419325432999</v>
      </c>
      <c r="X38" s="33"/>
      <c r="Y38" s="33" t="s">
        <v>122</v>
      </c>
      <c r="Z38" s="33" t="s">
        <v>122</v>
      </c>
      <c r="AA38" s="56"/>
      <c r="AB38" s="40"/>
      <c r="AC38" s="40"/>
    </row>
    <row r="39" spans="1:29" customFormat="1" hidden="1" x14ac:dyDescent="0.25">
      <c r="A39" s="2" t="s">
        <v>152</v>
      </c>
      <c r="B39" s="2" t="s">
        <v>153</v>
      </c>
      <c r="C39" s="2" t="s">
        <v>91</v>
      </c>
      <c r="D39" s="2" t="s">
        <v>44</v>
      </c>
      <c r="E39" s="2" t="s">
        <v>128</v>
      </c>
      <c r="F39" s="2" t="s">
        <v>129</v>
      </c>
      <c r="G39" s="2" t="s">
        <v>130</v>
      </c>
      <c r="H39" s="2" t="s">
        <v>95</v>
      </c>
      <c r="I39" s="2"/>
      <c r="J39" s="2">
        <v>55</v>
      </c>
      <c r="K39" s="2"/>
      <c r="L39" s="2"/>
      <c r="M39" s="2"/>
      <c r="N39" s="2" t="s">
        <v>97</v>
      </c>
      <c r="O39" s="2"/>
      <c r="P39" s="2"/>
      <c r="Q39" s="2"/>
      <c r="R39" s="2"/>
      <c r="S39" s="2"/>
      <c r="T39" s="2"/>
      <c r="U39" s="2">
        <v>435.48387096774201</v>
      </c>
      <c r="V39" s="2"/>
      <c r="W39" s="2"/>
      <c r="X39" s="2"/>
      <c r="Y39" s="2" t="s">
        <v>122</v>
      </c>
      <c r="Z39" s="2" t="s">
        <v>122</v>
      </c>
      <c r="AA39" s="3"/>
      <c r="AB39" s="5"/>
      <c r="AC39" s="5"/>
    </row>
    <row r="40" spans="1:29" x14ac:dyDescent="0.25">
      <c r="A40" s="33" t="s">
        <v>152</v>
      </c>
      <c r="B40" s="33" t="s">
        <v>153</v>
      </c>
      <c r="C40" s="33" t="s">
        <v>91</v>
      </c>
      <c r="D40" s="33" t="s">
        <v>47</v>
      </c>
      <c r="E40" s="33" t="s">
        <v>131</v>
      </c>
      <c r="F40" s="33" t="s">
        <v>132</v>
      </c>
      <c r="G40" s="33" t="s">
        <v>133</v>
      </c>
      <c r="H40" s="33" t="s">
        <v>95</v>
      </c>
      <c r="I40" s="33" t="s">
        <v>140</v>
      </c>
      <c r="J40" s="33">
        <v>51</v>
      </c>
      <c r="K40" s="33">
        <v>1</v>
      </c>
      <c r="L40" s="33">
        <v>0.42</v>
      </c>
      <c r="M40" s="33" t="s">
        <v>97</v>
      </c>
      <c r="N40" s="33" t="s">
        <v>97</v>
      </c>
      <c r="O40" s="33">
        <v>31.3</v>
      </c>
      <c r="P40" s="33">
        <v>61.4</v>
      </c>
      <c r="Q40" s="33">
        <v>111</v>
      </c>
      <c r="R40" s="33">
        <v>397</v>
      </c>
      <c r="S40" s="33">
        <v>1180</v>
      </c>
      <c r="T40" s="33">
        <v>1500</v>
      </c>
      <c r="U40" s="33">
        <v>2560</v>
      </c>
      <c r="V40" s="33"/>
      <c r="W40" s="33">
        <v>209</v>
      </c>
      <c r="X40" s="33">
        <v>235</v>
      </c>
      <c r="Y40" s="33" t="s">
        <v>135</v>
      </c>
      <c r="Z40" s="33" t="s">
        <v>122</v>
      </c>
      <c r="AA40" s="56"/>
      <c r="AB40" s="40"/>
      <c r="AC40" s="40"/>
    </row>
    <row r="41" spans="1:29" x14ac:dyDescent="0.25">
      <c r="A41" s="33" t="s">
        <v>152</v>
      </c>
      <c r="B41" s="33" t="s">
        <v>153</v>
      </c>
      <c r="C41" s="33" t="s">
        <v>91</v>
      </c>
      <c r="D41" s="33" t="s">
        <v>47</v>
      </c>
      <c r="E41" s="33" t="s">
        <v>131</v>
      </c>
      <c r="F41" s="33" t="s">
        <v>132</v>
      </c>
      <c r="G41" s="33" t="s">
        <v>133</v>
      </c>
      <c r="H41" s="33" t="s">
        <v>95</v>
      </c>
      <c r="I41" s="33" t="s">
        <v>134</v>
      </c>
      <c r="J41" s="33">
        <v>51</v>
      </c>
      <c r="K41" s="33">
        <v>1</v>
      </c>
      <c r="L41" s="33">
        <v>0.42</v>
      </c>
      <c r="M41" s="33" t="s">
        <v>97</v>
      </c>
      <c r="N41" s="33" t="s">
        <v>97</v>
      </c>
      <c r="O41" s="33">
        <v>36.700000000000003</v>
      </c>
      <c r="P41" s="33">
        <v>101</v>
      </c>
      <c r="Q41" s="33">
        <v>174</v>
      </c>
      <c r="R41" s="33">
        <v>587</v>
      </c>
      <c r="S41" s="33">
        <v>932</v>
      </c>
      <c r="T41" s="33">
        <v>1150</v>
      </c>
      <c r="U41" s="33">
        <v>2540</v>
      </c>
      <c r="V41" s="33"/>
      <c r="W41" s="33">
        <v>375</v>
      </c>
      <c r="X41" s="33">
        <v>323</v>
      </c>
      <c r="Y41" s="33" t="s">
        <v>135</v>
      </c>
      <c r="Z41" s="33" t="s">
        <v>122</v>
      </c>
      <c r="AA41" s="56"/>
      <c r="AB41" s="40"/>
      <c r="AC41" s="40"/>
    </row>
    <row r="42" spans="1:29" x14ac:dyDescent="0.25">
      <c r="A42" s="33" t="s">
        <v>152</v>
      </c>
      <c r="B42" s="33" t="s">
        <v>153</v>
      </c>
      <c r="C42" s="33" t="s">
        <v>91</v>
      </c>
      <c r="D42" s="33" t="s">
        <v>19</v>
      </c>
      <c r="E42" s="33" t="s">
        <v>20</v>
      </c>
      <c r="F42" s="33"/>
      <c r="G42" s="33" t="s">
        <v>106</v>
      </c>
      <c r="H42" s="33" t="s">
        <v>107</v>
      </c>
      <c r="I42" s="33"/>
      <c r="J42" s="33">
        <v>53</v>
      </c>
      <c r="K42" s="33">
        <v>0.90600000000000003</v>
      </c>
      <c r="L42" s="33"/>
      <c r="M42" s="33"/>
      <c r="N42" s="33" t="s">
        <v>97</v>
      </c>
      <c r="O42" s="33"/>
      <c r="P42" s="33"/>
      <c r="Q42" s="33"/>
      <c r="R42" s="33"/>
      <c r="S42" s="33"/>
      <c r="T42" s="33"/>
      <c r="U42" s="33">
        <v>545.73170731707296</v>
      </c>
      <c r="V42" s="33"/>
      <c r="W42" s="33">
        <v>85.467479674796806</v>
      </c>
      <c r="X42" s="33">
        <v>85.467479674796806</v>
      </c>
      <c r="Y42" s="33" t="s">
        <v>154</v>
      </c>
      <c r="Z42" s="33" t="s">
        <v>122</v>
      </c>
      <c r="AA42" s="56"/>
      <c r="AB42" s="40"/>
      <c r="AC42" s="40"/>
    </row>
    <row r="43" spans="1:29" x14ac:dyDescent="0.25">
      <c r="A43" s="33" t="s">
        <v>152</v>
      </c>
      <c r="B43" s="33" t="s">
        <v>153</v>
      </c>
      <c r="C43" s="33" t="s">
        <v>123</v>
      </c>
      <c r="D43" s="33" t="s">
        <v>23</v>
      </c>
      <c r="E43" s="33" t="s">
        <v>155</v>
      </c>
      <c r="F43" s="33" t="s">
        <v>156</v>
      </c>
      <c r="G43" s="33" t="s">
        <v>157</v>
      </c>
      <c r="H43" s="33" t="s">
        <v>95</v>
      </c>
      <c r="I43" s="33"/>
      <c r="J43" s="33">
        <v>27</v>
      </c>
      <c r="K43" s="42">
        <v>0.81</v>
      </c>
      <c r="L43" s="33">
        <v>34</v>
      </c>
      <c r="M43" s="33" t="s">
        <v>158</v>
      </c>
      <c r="N43" s="33" t="s">
        <v>97</v>
      </c>
      <c r="O43" s="33">
        <f>34/992*1000</f>
        <v>34.274193548387096</v>
      </c>
      <c r="P43" s="33"/>
      <c r="Q43" s="33"/>
      <c r="R43" s="33"/>
      <c r="S43" s="33"/>
      <c r="T43" s="33"/>
      <c r="U43" s="33">
        <f>8530/992*1000</f>
        <v>8598.7903225806458</v>
      </c>
      <c r="V43" s="33"/>
      <c r="W43" s="33">
        <f>710/992*1000</f>
        <v>715.72580645161293</v>
      </c>
      <c r="X43" s="33"/>
      <c r="Y43" s="33" t="s">
        <v>122</v>
      </c>
      <c r="Z43" s="33" t="s">
        <v>122</v>
      </c>
      <c r="AA43" s="58"/>
    </row>
    <row r="44" spans="1:29" customFormat="1" hidden="1" x14ac:dyDescent="0.25">
      <c r="A44" s="2" t="s">
        <v>62</v>
      </c>
      <c r="B44" s="2" t="s">
        <v>153</v>
      </c>
      <c r="C44" s="2" t="s">
        <v>117</v>
      </c>
      <c r="D44" s="2" t="s">
        <v>29</v>
      </c>
      <c r="E44" s="2" t="s">
        <v>118</v>
      </c>
      <c r="F44" s="2" t="s">
        <v>119</v>
      </c>
      <c r="G44" s="2" t="s">
        <v>102</v>
      </c>
      <c r="H44" s="2" t="s">
        <v>95</v>
      </c>
      <c r="I44" s="2" t="s">
        <v>120</v>
      </c>
      <c r="J44" s="2">
        <v>22</v>
      </c>
      <c r="K44" s="2">
        <v>0.32</v>
      </c>
      <c r="L44" s="2">
        <v>0.11</v>
      </c>
      <c r="M44" s="2" t="s">
        <v>159</v>
      </c>
      <c r="N44" s="2" t="s">
        <v>97</v>
      </c>
      <c r="O44" s="2" t="s">
        <v>160</v>
      </c>
      <c r="P44" s="2"/>
      <c r="Q44" s="2"/>
      <c r="R44" s="2"/>
      <c r="S44" s="2"/>
      <c r="T44" s="2">
        <f>29.5*100</f>
        <v>2950</v>
      </c>
      <c r="U44" s="2"/>
      <c r="V44" s="2"/>
      <c r="W44" s="2" t="s">
        <v>160</v>
      </c>
      <c r="X44" s="2"/>
      <c r="Y44" s="2" t="s">
        <v>121</v>
      </c>
      <c r="Z44" s="2" t="s">
        <v>122</v>
      </c>
      <c r="AA44" s="2"/>
    </row>
    <row r="45" spans="1:29" x14ac:dyDescent="0.25">
      <c r="AB45" s="40"/>
      <c r="AC45" s="40"/>
    </row>
    <row r="46" spans="1:29" x14ac:dyDescent="0.25">
      <c r="AB46" s="40"/>
      <c r="AC46" s="40"/>
    </row>
    <row r="47" spans="1:29" x14ac:dyDescent="0.25">
      <c r="AB47" s="40"/>
      <c r="AC47" s="40"/>
    </row>
    <row r="48" spans="1:29" x14ac:dyDescent="0.25">
      <c r="AB48" s="40"/>
      <c r="AC48" s="40"/>
    </row>
    <row r="49" spans="28:29" x14ac:dyDescent="0.25">
      <c r="AB49" s="40"/>
      <c r="AC49" s="40"/>
    </row>
    <row r="50" spans="28:29" x14ac:dyDescent="0.25">
      <c r="AB50" s="40"/>
      <c r="AC50" s="40"/>
    </row>
  </sheetData>
  <autoFilter ref="A1:AA44" xr:uid="{A3595A9F-11CC-4B06-9D77-7260C754F9E6}">
    <filterColumn colId="22">
      <filters>
        <filter val="1058"/>
        <filter val="120"/>
        <filter val="130"/>
        <filter val="15.52795031"/>
        <filter val="1583"/>
        <filter val="16.86417502"/>
        <filter val="2.962625342"/>
        <filter val="205"/>
        <filter val="209"/>
        <filter val="209.6045198"/>
        <filter val="210"/>
        <filter val="3.418413856"/>
        <filter val="30"/>
        <filter val="310"/>
        <filter val="340"/>
        <filter val="37.2983871"/>
        <filter val="375"/>
        <filter val="5.241567912"/>
        <filter val="522"/>
        <filter val="60.6"/>
        <filter val="7.634457612"/>
        <filter val="715.7258065"/>
        <filter val="8.204193254"/>
        <filter val="85.46747967"/>
        <filter val="86.26639061"/>
        <filter val="861"/>
        <filter val="88.4180791"/>
        <filter val="9.661835749"/>
        <filter val="90"/>
        <filter val="93.7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FAFB-701E-4C49-BB3F-F3713A026CF8}">
  <dimension ref="A1:AT12"/>
  <sheetViews>
    <sheetView workbookViewId="0">
      <pane xSplit="36" ySplit="2" topLeftCell="AK3" activePane="bottomRight" state="frozen"/>
      <selection pane="topRight" activeCell="AK1" sqref="AK1"/>
      <selection pane="bottomLeft" activeCell="A3" sqref="A3"/>
      <selection pane="bottomRight" activeCell="B14" sqref="B14"/>
    </sheetView>
  </sheetViews>
  <sheetFormatPr defaultColWidth="8.85546875" defaultRowHeight="15" x14ac:dyDescent="0.25"/>
  <cols>
    <col min="1" max="1" width="12.7109375" style="11" customWidth="1"/>
    <col min="2" max="2" width="35.28515625" style="11" customWidth="1"/>
    <col min="3" max="35" width="0" style="11" hidden="1" customWidth="1"/>
    <col min="36" max="36" width="18.85546875" style="11" customWidth="1"/>
    <col min="37" max="37" width="14" style="11" customWidth="1"/>
    <col min="38" max="38" width="17.7109375" style="11" customWidth="1"/>
    <col min="39" max="39" width="13.28515625" style="11" customWidth="1"/>
    <col min="40" max="40" width="14.140625" style="11" customWidth="1"/>
    <col min="41" max="41" width="14.28515625" style="11" customWidth="1"/>
    <col min="42" max="42" width="12.28515625" style="11" customWidth="1"/>
    <col min="43" max="43" width="8.85546875" style="11" customWidth="1"/>
    <col min="44" max="44" width="14.140625" style="11" customWidth="1"/>
    <col min="45" max="45" width="15.5703125" style="11" customWidth="1"/>
    <col min="46" max="46" width="15.28515625" style="11" customWidth="1"/>
    <col min="47" max="16384" width="8.85546875" style="11"/>
  </cols>
  <sheetData>
    <row r="1" spans="1:46" x14ac:dyDescent="0.25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6"/>
      <c r="AK1" s="16"/>
      <c r="AL1" s="16"/>
      <c r="AM1" s="16"/>
      <c r="AN1" s="59" t="s">
        <v>161</v>
      </c>
      <c r="AO1" s="60"/>
      <c r="AP1" s="61"/>
      <c r="AQ1" s="59" t="s">
        <v>162</v>
      </c>
      <c r="AR1" s="60"/>
      <c r="AS1" s="60"/>
      <c r="AT1" s="61"/>
    </row>
    <row r="2" spans="1:46" s="27" customFormat="1" ht="45" x14ac:dyDescent="0.25">
      <c r="A2" s="18" t="s">
        <v>163</v>
      </c>
      <c r="B2" s="18" t="s">
        <v>164</v>
      </c>
      <c r="C2" s="19" t="s">
        <v>165</v>
      </c>
      <c r="D2" s="19" t="s">
        <v>166</v>
      </c>
      <c r="E2" s="19" t="s">
        <v>167</v>
      </c>
      <c r="F2" s="19" t="s">
        <v>168</v>
      </c>
      <c r="G2" s="19" t="s">
        <v>169</v>
      </c>
      <c r="H2" s="19" t="s">
        <v>170</v>
      </c>
      <c r="I2" s="19" t="s">
        <v>171</v>
      </c>
      <c r="J2" s="19" t="s">
        <v>172</v>
      </c>
      <c r="K2" s="19" t="s">
        <v>72</v>
      </c>
      <c r="L2" s="19" t="s">
        <v>173</v>
      </c>
      <c r="M2" s="19" t="s">
        <v>174</v>
      </c>
      <c r="N2" s="19" t="s">
        <v>175</v>
      </c>
      <c r="O2" s="19" t="s">
        <v>176</v>
      </c>
      <c r="P2" s="19" t="s">
        <v>78</v>
      </c>
      <c r="Q2" s="19" t="s">
        <v>79</v>
      </c>
      <c r="R2" s="19" t="s">
        <v>80</v>
      </c>
      <c r="S2" s="19" t="s">
        <v>81</v>
      </c>
      <c r="T2" s="19" t="s">
        <v>82</v>
      </c>
      <c r="U2" s="19" t="s">
        <v>177</v>
      </c>
      <c r="V2" s="19" t="s">
        <v>178</v>
      </c>
      <c r="W2" s="19" t="s">
        <v>179</v>
      </c>
      <c r="X2" s="19" t="s">
        <v>180</v>
      </c>
      <c r="Y2" s="19" t="s">
        <v>181</v>
      </c>
      <c r="Z2" s="19" t="s">
        <v>182</v>
      </c>
      <c r="AA2" s="19" t="s">
        <v>183</v>
      </c>
      <c r="AB2" s="19" t="s">
        <v>184</v>
      </c>
      <c r="AC2" s="19" t="s">
        <v>185</v>
      </c>
      <c r="AD2" s="19" t="s">
        <v>186</v>
      </c>
      <c r="AE2" s="19" t="s">
        <v>187</v>
      </c>
      <c r="AF2" s="19" t="s">
        <v>188</v>
      </c>
      <c r="AG2" s="19" t="s">
        <v>189</v>
      </c>
      <c r="AH2" s="19" t="s">
        <v>190</v>
      </c>
      <c r="AI2" s="20" t="s">
        <v>191</v>
      </c>
      <c r="AJ2" s="21" t="s">
        <v>88</v>
      </c>
      <c r="AK2" s="22" t="s">
        <v>89</v>
      </c>
      <c r="AL2" s="22" t="s">
        <v>192</v>
      </c>
      <c r="AM2" s="22" t="s">
        <v>193</v>
      </c>
      <c r="AN2" s="23" t="s">
        <v>194</v>
      </c>
      <c r="AO2" s="24" t="s">
        <v>195</v>
      </c>
      <c r="AP2" s="24" t="s">
        <v>196</v>
      </c>
      <c r="AQ2" s="23" t="s">
        <v>197</v>
      </c>
      <c r="AR2" s="23" t="s">
        <v>198</v>
      </c>
      <c r="AS2" s="26" t="s">
        <v>199</v>
      </c>
      <c r="AT2" s="26" t="s">
        <v>200</v>
      </c>
    </row>
    <row r="3" spans="1:46" x14ac:dyDescent="0.25">
      <c r="A3" s="14" t="s">
        <v>57</v>
      </c>
      <c r="B3" s="14" t="s">
        <v>90</v>
      </c>
      <c r="C3" s="14" t="s">
        <v>91</v>
      </c>
      <c r="D3" s="14" t="s">
        <v>35</v>
      </c>
      <c r="E3" s="14" t="s">
        <v>92</v>
      </c>
      <c r="F3" s="14" t="s">
        <v>93</v>
      </c>
      <c r="G3" s="14" t="s">
        <v>94</v>
      </c>
      <c r="H3" s="14" t="s">
        <v>95</v>
      </c>
      <c r="I3" s="14"/>
      <c r="J3" s="14">
        <v>27</v>
      </c>
      <c r="K3" s="14">
        <v>50</v>
      </c>
      <c r="L3" s="14">
        <v>0.81</v>
      </c>
      <c r="M3" s="14"/>
      <c r="N3" s="14" t="s">
        <v>96</v>
      </c>
      <c r="O3" s="14" t="s">
        <v>97</v>
      </c>
      <c r="P3" s="14"/>
      <c r="Q3" s="14">
        <v>14.1476880607315</v>
      </c>
      <c r="R3" s="14">
        <v>224.292615596963</v>
      </c>
      <c r="S3" s="14"/>
      <c r="T3" s="14"/>
      <c r="U3" s="14"/>
      <c r="V3" s="14">
        <v>58.661145617667401</v>
      </c>
      <c r="W3" s="14">
        <v>693.58178053830204</v>
      </c>
      <c r="X3" s="14">
        <v>86.266390614216704</v>
      </c>
      <c r="Y3" s="14"/>
      <c r="Z3" s="14">
        <v>19</v>
      </c>
      <c r="AA3" s="14"/>
      <c r="AB3" s="14">
        <v>98.039215686274503</v>
      </c>
      <c r="AC3" s="14"/>
      <c r="AD3" s="14">
        <v>5</v>
      </c>
      <c r="AE3" s="14" t="s">
        <v>201</v>
      </c>
      <c r="AF3" s="14" t="s">
        <v>202</v>
      </c>
      <c r="AG3" s="14">
        <v>262.52650855151199</v>
      </c>
      <c r="AH3" s="14">
        <v>8.5219973030160201</v>
      </c>
      <c r="AI3" s="14" t="s">
        <v>98</v>
      </c>
      <c r="AJ3" s="14" t="s">
        <v>99</v>
      </c>
      <c r="AK3" s="53">
        <f>'GenPop Data'!AA2</f>
        <v>86.266390614216704</v>
      </c>
      <c r="AL3" s="29">
        <v>290</v>
      </c>
      <c r="AM3" s="29">
        <v>12.6</v>
      </c>
      <c r="AN3" s="29">
        <f>'fabs and kp'!$B$2</f>
        <v>0.31</v>
      </c>
      <c r="AO3" s="31">
        <f t="shared" ref="AO3:AO12" si="0">AK3*AL3*24*AN3/AM3/24</f>
        <v>615.50385049349859</v>
      </c>
      <c r="AP3" s="31">
        <f t="shared" ref="AP3:AP12" si="1">AO3*10^-9</f>
        <v>6.1550385049349862E-7</v>
      </c>
      <c r="AQ3" s="30">
        <f>'fabs and kp'!$F$2</f>
        <v>9.4400294240226353E-4</v>
      </c>
      <c r="AR3" s="28">
        <v>1.3</v>
      </c>
      <c r="AS3" s="31">
        <f t="shared" ref="AS3:AS12" si="2">AQ3*AK3/(AR3*10^-4)*AL3*24/AM3</f>
        <v>346027.26308235357</v>
      </c>
      <c r="AT3" s="32">
        <f t="shared" ref="AT3:AT12" si="3">AS3*10^-9</f>
        <v>3.4602726308235359E-4</v>
      </c>
    </row>
    <row r="4" spans="1:46" x14ac:dyDescent="0.25">
      <c r="A4" s="14" t="s">
        <v>57</v>
      </c>
      <c r="B4" s="14" t="s">
        <v>90</v>
      </c>
      <c r="C4" s="14" t="s">
        <v>91</v>
      </c>
      <c r="D4" s="14" t="s">
        <v>38</v>
      </c>
      <c r="E4" s="14" t="s">
        <v>100</v>
      </c>
      <c r="F4" s="14" t="s">
        <v>101</v>
      </c>
      <c r="G4" s="14" t="s">
        <v>102</v>
      </c>
      <c r="H4" s="14" t="s">
        <v>95</v>
      </c>
      <c r="I4" s="14" t="s">
        <v>103</v>
      </c>
      <c r="J4" s="14">
        <v>29</v>
      </c>
      <c r="K4" s="14">
        <v>31</v>
      </c>
      <c r="L4" s="14"/>
      <c r="M4" s="14"/>
      <c r="N4" s="14"/>
      <c r="O4" s="14" t="s">
        <v>97</v>
      </c>
      <c r="P4" s="14"/>
      <c r="Q4" s="14"/>
      <c r="R4" s="14"/>
      <c r="S4" s="14"/>
      <c r="T4" s="14"/>
      <c r="U4" s="14"/>
      <c r="V4" s="14"/>
      <c r="W4" s="14">
        <v>53.783044667274403</v>
      </c>
      <c r="X4" s="14">
        <v>3.4184138559708299</v>
      </c>
      <c r="Y4" s="14"/>
      <c r="Z4" s="14"/>
      <c r="AA4" s="14"/>
      <c r="AB4" s="14">
        <v>96.875</v>
      </c>
      <c r="AC4" s="14"/>
      <c r="AD4" s="14">
        <v>2</v>
      </c>
      <c r="AE4" s="14">
        <v>3.4184138559708299</v>
      </c>
      <c r="AF4" s="14">
        <v>25</v>
      </c>
      <c r="AG4" s="14"/>
      <c r="AH4" s="14"/>
      <c r="AI4" s="14" t="s">
        <v>104</v>
      </c>
      <c r="AJ4" s="14" t="s">
        <v>105</v>
      </c>
      <c r="AK4" s="53">
        <f>'GenPop Data'!AA3</f>
        <v>3.4184138559708299</v>
      </c>
      <c r="AL4" s="29">
        <v>370</v>
      </c>
      <c r="AM4" s="29">
        <v>18.600000000000001</v>
      </c>
      <c r="AN4" s="29">
        <f>'fabs and kp'!$B$2</f>
        <v>0.31</v>
      </c>
      <c r="AO4" s="31">
        <f t="shared" si="0"/>
        <v>21.080218778486785</v>
      </c>
      <c r="AP4" s="31">
        <f t="shared" si="1"/>
        <v>2.1080218778486787E-8</v>
      </c>
      <c r="AQ4" s="30">
        <f>'fabs and kp'!$F$2</f>
        <v>9.4400294240226353E-4</v>
      </c>
      <c r="AR4" s="29">
        <v>1.3</v>
      </c>
      <c r="AS4" s="31">
        <f t="shared" si="2"/>
        <v>11850.99070176177</v>
      </c>
      <c r="AT4" s="32">
        <f t="shared" si="3"/>
        <v>1.185099070176177E-5</v>
      </c>
    </row>
    <row r="5" spans="1:46" x14ac:dyDescent="0.25">
      <c r="A5" s="14" t="s">
        <v>57</v>
      </c>
      <c r="B5" s="14" t="s">
        <v>90</v>
      </c>
      <c r="C5" s="14" t="s">
        <v>117</v>
      </c>
      <c r="D5" s="14" t="s">
        <v>29</v>
      </c>
      <c r="E5" s="14" t="s">
        <v>118</v>
      </c>
      <c r="F5" s="14" t="s">
        <v>119</v>
      </c>
      <c r="G5" s="14" t="s">
        <v>102</v>
      </c>
      <c r="H5" s="14" t="s">
        <v>95</v>
      </c>
      <c r="I5" s="14" t="s">
        <v>120</v>
      </c>
      <c r="J5" s="14">
        <v>23</v>
      </c>
      <c r="K5" s="14">
        <v>22</v>
      </c>
      <c r="L5" s="14">
        <v>1</v>
      </c>
      <c r="M5" s="14">
        <v>47</v>
      </c>
      <c r="N5" s="14" t="s">
        <v>97</v>
      </c>
      <c r="O5" s="14" t="s">
        <v>97</v>
      </c>
      <c r="P5" s="14"/>
      <c r="Q5" s="14"/>
      <c r="R5" s="14"/>
      <c r="S5" s="14"/>
      <c r="T5" s="14"/>
      <c r="U5" s="14"/>
      <c r="V5" s="14"/>
      <c r="W5" s="14">
        <v>1070</v>
      </c>
      <c r="X5" s="14">
        <v>130</v>
      </c>
      <c r="Y5" s="14">
        <v>20</v>
      </c>
      <c r="Z5" s="14"/>
      <c r="AA5" s="14"/>
      <c r="AB5" s="14">
        <v>95.652173913043498</v>
      </c>
      <c r="AC5" s="14">
        <v>4.3478260869565197</v>
      </c>
      <c r="AD5" s="14">
        <v>3</v>
      </c>
      <c r="AE5" s="14" t="s">
        <v>203</v>
      </c>
      <c r="AF5" s="14" t="s">
        <v>204</v>
      </c>
      <c r="AG5" s="14">
        <v>439.12399099872499</v>
      </c>
      <c r="AH5" s="14">
        <v>6.0781090733062904</v>
      </c>
      <c r="AI5" s="14" t="s">
        <v>121</v>
      </c>
      <c r="AJ5" s="14" t="s">
        <v>122</v>
      </c>
      <c r="AK5" s="54">
        <f>'GenPop Data'!AA6</f>
        <v>110.14688688157786</v>
      </c>
      <c r="AL5" s="29">
        <v>980</v>
      </c>
      <c r="AM5" s="29">
        <v>80</v>
      </c>
      <c r="AN5" s="29">
        <f>'fabs and kp'!$B$2</f>
        <v>0.31</v>
      </c>
      <c r="AO5" s="31">
        <f t="shared" si="0"/>
        <v>418.28280293279187</v>
      </c>
      <c r="AP5" s="31">
        <f t="shared" si="1"/>
        <v>4.1828280293279187E-7</v>
      </c>
      <c r="AQ5" s="30">
        <f>'fabs and kp'!$F$2</f>
        <v>9.4400294240226353E-4</v>
      </c>
      <c r="AR5" s="29">
        <v>1.3</v>
      </c>
      <c r="AS5" s="31">
        <f t="shared" si="2"/>
        <v>235152.47447632058</v>
      </c>
      <c r="AT5" s="32">
        <f t="shared" si="3"/>
        <v>2.3515247447632059E-4</v>
      </c>
    </row>
    <row r="6" spans="1:46" x14ac:dyDescent="0.25">
      <c r="A6" s="33" t="s">
        <v>61</v>
      </c>
      <c r="B6" s="33" t="s">
        <v>141</v>
      </c>
      <c r="C6" s="33" t="s">
        <v>91</v>
      </c>
      <c r="D6" s="33" t="s">
        <v>35</v>
      </c>
      <c r="E6" s="33" t="s">
        <v>92</v>
      </c>
      <c r="F6" s="33" t="s">
        <v>93</v>
      </c>
      <c r="G6" s="33" t="s">
        <v>94</v>
      </c>
      <c r="H6" s="33" t="s">
        <v>95</v>
      </c>
      <c r="I6" s="33"/>
      <c r="J6" s="33">
        <v>26</v>
      </c>
      <c r="K6" s="33">
        <v>50</v>
      </c>
      <c r="L6" s="33">
        <v>0.48</v>
      </c>
      <c r="M6" s="33"/>
      <c r="N6" s="33" t="s">
        <v>96</v>
      </c>
      <c r="O6" s="33" t="s">
        <v>97</v>
      </c>
      <c r="P6" s="33"/>
      <c r="Q6" s="33">
        <v>1.0351966873706</v>
      </c>
      <c r="R6" s="33">
        <v>127.67425810904101</v>
      </c>
      <c r="S6" s="33"/>
      <c r="T6" s="33"/>
      <c r="U6" s="33"/>
      <c r="V6" s="33">
        <v>44.8585231193927</v>
      </c>
      <c r="W6" s="33">
        <v>2705.3140096618399</v>
      </c>
      <c r="X6" s="33">
        <v>15.527950310559</v>
      </c>
      <c r="Y6" s="33"/>
      <c r="Z6" s="33">
        <v>52</v>
      </c>
      <c r="AA6" s="33"/>
      <c r="AB6" s="33">
        <v>98.039215686274503</v>
      </c>
      <c r="AC6" s="33"/>
      <c r="AD6" s="33">
        <v>5</v>
      </c>
      <c r="AE6" s="33" t="s">
        <v>205</v>
      </c>
      <c r="AF6" s="33" t="s">
        <v>202</v>
      </c>
      <c r="AG6" s="33">
        <v>146.09949749771999</v>
      </c>
      <c r="AH6" s="33">
        <v>42.325744687516597</v>
      </c>
      <c r="AI6" s="33" t="s">
        <v>98</v>
      </c>
      <c r="AJ6" s="33" t="s">
        <v>99</v>
      </c>
      <c r="AK6" s="55">
        <f>'GenPop Data'!AA15</f>
        <v>15.527950310559</v>
      </c>
      <c r="AL6" s="35">
        <v>290</v>
      </c>
      <c r="AM6" s="35">
        <v>12.6</v>
      </c>
      <c r="AN6" s="35">
        <f>'fabs and kp'!$B$3</f>
        <v>0.26200000000000001</v>
      </c>
      <c r="AO6" s="37">
        <f t="shared" si="0"/>
        <v>93.636005126688303</v>
      </c>
      <c r="AP6" s="37">
        <f t="shared" si="1"/>
        <v>9.3636005126688306E-8</v>
      </c>
      <c r="AQ6" s="36">
        <f>'fabs and kp'!$F$3</f>
        <v>4.8663529099313446E-5</v>
      </c>
      <c r="AR6" s="34">
        <v>1.3</v>
      </c>
      <c r="AS6" s="37">
        <f t="shared" si="2"/>
        <v>3210.7986801358024</v>
      </c>
      <c r="AT6" s="38">
        <f t="shared" si="3"/>
        <v>3.2107986801358028E-6</v>
      </c>
    </row>
    <row r="7" spans="1:46" x14ac:dyDescent="0.25">
      <c r="A7" s="33" t="s">
        <v>61</v>
      </c>
      <c r="B7" s="33" t="s">
        <v>141</v>
      </c>
      <c r="C7" s="33" t="s">
        <v>91</v>
      </c>
      <c r="D7" s="33" t="s">
        <v>38</v>
      </c>
      <c r="E7" s="33" t="s">
        <v>100</v>
      </c>
      <c r="F7" s="33" t="s">
        <v>101</v>
      </c>
      <c r="G7" s="33" t="s">
        <v>102</v>
      </c>
      <c r="H7" s="33" t="s">
        <v>95</v>
      </c>
      <c r="I7" s="33" t="s">
        <v>103</v>
      </c>
      <c r="J7" s="33">
        <v>30</v>
      </c>
      <c r="K7" s="33">
        <v>31</v>
      </c>
      <c r="L7" s="33"/>
      <c r="M7" s="33"/>
      <c r="N7" s="33"/>
      <c r="O7" s="33" t="s">
        <v>97</v>
      </c>
      <c r="P7" s="33"/>
      <c r="Q7" s="33"/>
      <c r="R7" s="33"/>
      <c r="S7" s="33"/>
      <c r="T7" s="33"/>
      <c r="U7" s="33"/>
      <c r="V7" s="33"/>
      <c r="W7" s="33">
        <v>131.03919781221501</v>
      </c>
      <c r="X7" s="33">
        <v>5.2415679124886099</v>
      </c>
      <c r="Y7" s="33"/>
      <c r="Z7" s="33"/>
      <c r="AA7" s="33"/>
      <c r="AB7" s="33">
        <v>96.875</v>
      </c>
      <c r="AC7" s="33"/>
      <c r="AD7" s="33">
        <v>2</v>
      </c>
      <c r="AE7" s="33">
        <v>5.2415679124886099</v>
      </c>
      <c r="AF7" s="33">
        <v>25</v>
      </c>
      <c r="AG7" s="33"/>
      <c r="AH7" s="33"/>
      <c r="AI7" s="33" t="s">
        <v>104</v>
      </c>
      <c r="AJ7" s="33" t="s">
        <v>105</v>
      </c>
      <c r="AK7" s="55">
        <f>'GenPop Data'!AA16</f>
        <v>53.573864951582308</v>
      </c>
      <c r="AL7" s="35">
        <v>370</v>
      </c>
      <c r="AM7" s="35">
        <v>18.600000000000001</v>
      </c>
      <c r="AN7" s="35">
        <f>'fabs and kp'!$B$3</f>
        <v>0.26200000000000001</v>
      </c>
      <c r="AO7" s="37">
        <f t="shared" si="0"/>
        <v>279.21776711862304</v>
      </c>
      <c r="AP7" s="37">
        <f t="shared" si="1"/>
        <v>2.7921776711862308E-7</v>
      </c>
      <c r="AQ7" s="36">
        <f>'fabs and kp'!$F$3</f>
        <v>4.8663529099313446E-5</v>
      </c>
      <c r="AR7" s="35">
        <v>1.3</v>
      </c>
      <c r="AS7" s="37">
        <f t="shared" si="2"/>
        <v>9574.437065335831</v>
      </c>
      <c r="AT7" s="38">
        <f t="shared" si="3"/>
        <v>9.5744370653358311E-6</v>
      </c>
    </row>
    <row r="8" spans="1:46" x14ac:dyDescent="0.25">
      <c r="A8" s="33" t="s">
        <v>61</v>
      </c>
      <c r="B8" s="33" t="s">
        <v>141</v>
      </c>
      <c r="C8" s="33" t="s">
        <v>123</v>
      </c>
      <c r="D8" s="33" t="s">
        <v>16</v>
      </c>
      <c r="E8" s="33" t="s">
        <v>142</v>
      </c>
      <c r="F8" s="33" t="s">
        <v>143</v>
      </c>
      <c r="G8" s="33" t="s">
        <v>106</v>
      </c>
      <c r="H8" s="33" t="s">
        <v>95</v>
      </c>
      <c r="I8" s="33" t="s">
        <v>144</v>
      </c>
      <c r="J8" s="33">
        <v>5</v>
      </c>
      <c r="K8" s="33">
        <v>9</v>
      </c>
      <c r="L8" s="33"/>
      <c r="M8" s="33">
        <v>10000</v>
      </c>
      <c r="N8" s="33" t="s">
        <v>96</v>
      </c>
      <c r="O8" s="33" t="s">
        <v>97</v>
      </c>
      <c r="P8" s="33"/>
      <c r="Q8" s="33"/>
      <c r="R8" s="33"/>
      <c r="S8" s="33"/>
      <c r="T8" s="33"/>
      <c r="U8" s="33">
        <v>40900</v>
      </c>
      <c r="V8" s="33"/>
      <c r="W8" s="33"/>
      <c r="X8" s="33"/>
      <c r="Y8" s="33"/>
      <c r="Z8" s="33"/>
      <c r="AA8" s="33"/>
      <c r="AB8" s="33"/>
      <c r="AC8" s="33"/>
      <c r="AD8" s="33">
        <v>0</v>
      </c>
      <c r="AE8" s="33"/>
      <c r="AF8" s="33"/>
      <c r="AG8" s="33"/>
      <c r="AH8" s="33"/>
      <c r="AI8" s="33" t="s">
        <v>145</v>
      </c>
      <c r="AJ8" s="33" t="s">
        <v>122</v>
      </c>
      <c r="AK8" s="56">
        <f>'GenPop Data'!AA19</f>
        <v>179.82553013434554</v>
      </c>
      <c r="AL8" s="35">
        <v>980</v>
      </c>
      <c r="AM8" s="35">
        <v>80</v>
      </c>
      <c r="AN8" s="35">
        <f>'fabs and kp'!$B$3</f>
        <v>0.26200000000000001</v>
      </c>
      <c r="AO8" s="37">
        <f t="shared" si="0"/>
        <v>577.15003896618191</v>
      </c>
      <c r="AP8" s="37">
        <f t="shared" si="1"/>
        <v>5.7715003896618198E-7</v>
      </c>
      <c r="AQ8" s="36">
        <f>'fabs and kp'!$F$3</f>
        <v>4.8663529099313446E-5</v>
      </c>
      <c r="AR8" s="35">
        <v>1.3</v>
      </c>
      <c r="AS8" s="37">
        <f t="shared" si="2"/>
        <v>19790.598507974642</v>
      </c>
      <c r="AT8" s="38">
        <f t="shared" si="3"/>
        <v>1.9790598507974645E-5</v>
      </c>
    </row>
    <row r="9" spans="1:46" x14ac:dyDescent="0.25">
      <c r="A9" s="14" t="s">
        <v>150</v>
      </c>
      <c r="B9" s="14" t="s">
        <v>151</v>
      </c>
      <c r="C9" s="14" t="s">
        <v>117</v>
      </c>
      <c r="D9" s="14" t="s">
        <v>29</v>
      </c>
      <c r="E9" s="14" t="s">
        <v>118</v>
      </c>
      <c r="F9" s="14" t="s">
        <v>119</v>
      </c>
      <c r="G9" s="14" t="s">
        <v>102</v>
      </c>
      <c r="H9" s="14" t="s">
        <v>95</v>
      </c>
      <c r="I9" s="14" t="s">
        <v>120</v>
      </c>
      <c r="J9" s="14">
        <v>24</v>
      </c>
      <c r="K9" s="14">
        <v>22</v>
      </c>
      <c r="L9" s="14">
        <v>1</v>
      </c>
      <c r="M9" s="14"/>
      <c r="N9" s="14" t="s">
        <v>97</v>
      </c>
      <c r="O9" s="14" t="s">
        <v>97</v>
      </c>
      <c r="P9" s="14"/>
      <c r="Q9" s="14"/>
      <c r="R9" s="14"/>
      <c r="S9" s="14"/>
      <c r="T9" s="14"/>
      <c r="U9" s="14"/>
      <c r="V9" s="14"/>
      <c r="W9" s="14">
        <v>15190</v>
      </c>
      <c r="X9" s="14">
        <v>340</v>
      </c>
      <c r="Y9" s="14">
        <v>30</v>
      </c>
      <c r="Z9" s="14"/>
      <c r="AA9" s="14"/>
      <c r="AB9" s="14">
        <v>95.652173913043498</v>
      </c>
      <c r="AC9" s="14">
        <v>4.3478260869565197</v>
      </c>
      <c r="AD9" s="14">
        <v>3</v>
      </c>
      <c r="AE9" s="14" t="s">
        <v>206</v>
      </c>
      <c r="AF9" s="14" t="s">
        <v>204</v>
      </c>
      <c r="AG9" s="14">
        <v>1648.6779134620299</v>
      </c>
      <c r="AH9" s="14">
        <v>10.3885861439751</v>
      </c>
      <c r="AI9" s="14" t="s">
        <v>121</v>
      </c>
      <c r="AJ9" s="14" t="s">
        <v>122</v>
      </c>
      <c r="AK9" s="54">
        <f>'GenPop Data'!AA26</f>
        <v>255.79335052164527</v>
      </c>
      <c r="AL9" s="29">
        <v>980</v>
      </c>
      <c r="AM9" s="29">
        <v>80</v>
      </c>
      <c r="AN9" s="29">
        <f>'fabs and kp'!$B$3</f>
        <v>0.26200000000000001</v>
      </c>
      <c r="AO9" s="31">
        <f t="shared" si="0"/>
        <v>820.96875849922037</v>
      </c>
      <c r="AP9" s="31">
        <f t="shared" si="1"/>
        <v>8.2096875849922038E-7</v>
      </c>
      <c r="AQ9" s="30">
        <f>'fabs and kp'!$F$3</f>
        <v>4.8663529099313446E-5</v>
      </c>
      <c r="AR9" s="29">
        <v>1.3</v>
      </c>
      <c r="AS9" s="31">
        <f t="shared" si="2"/>
        <v>28151.194646285876</v>
      </c>
      <c r="AT9" s="32">
        <f t="shared" si="3"/>
        <v>2.8151194646285877E-5</v>
      </c>
    </row>
    <row r="10" spans="1:46" x14ac:dyDescent="0.25">
      <c r="A10" s="33" t="s">
        <v>152</v>
      </c>
      <c r="B10" s="33" t="s">
        <v>153</v>
      </c>
      <c r="C10" s="33" t="s">
        <v>91</v>
      </c>
      <c r="D10" s="33" t="s">
        <v>35</v>
      </c>
      <c r="E10" s="33" t="s">
        <v>92</v>
      </c>
      <c r="F10" s="33" t="s">
        <v>93</v>
      </c>
      <c r="G10" s="33" t="s">
        <v>94</v>
      </c>
      <c r="H10" s="33" t="s">
        <v>95</v>
      </c>
      <c r="I10" s="33"/>
      <c r="J10" s="33">
        <v>28</v>
      </c>
      <c r="K10" s="33">
        <v>50</v>
      </c>
      <c r="L10" s="33">
        <v>0.63</v>
      </c>
      <c r="M10" s="33"/>
      <c r="N10" s="33" t="s">
        <v>96</v>
      </c>
      <c r="O10" s="33" t="s">
        <v>97</v>
      </c>
      <c r="P10" s="33"/>
      <c r="Q10" s="33">
        <v>5.5210489993098699</v>
      </c>
      <c r="R10" s="33">
        <v>75.914423740510699</v>
      </c>
      <c r="S10" s="33"/>
      <c r="T10" s="33"/>
      <c r="U10" s="33"/>
      <c r="V10" s="33">
        <v>12.4223602484472</v>
      </c>
      <c r="W10" s="33">
        <v>138.02622498274701</v>
      </c>
      <c r="X10" s="33">
        <v>9.6618357487922708</v>
      </c>
      <c r="Y10" s="33"/>
      <c r="Z10" s="33">
        <v>37</v>
      </c>
      <c r="AA10" s="33"/>
      <c r="AB10" s="33">
        <v>98.039215686274503</v>
      </c>
      <c r="AC10" s="33"/>
      <c r="AD10" s="33">
        <v>5</v>
      </c>
      <c r="AE10" s="33" t="s">
        <v>207</v>
      </c>
      <c r="AF10" s="33" t="s">
        <v>202</v>
      </c>
      <c r="AG10" s="33">
        <v>61.218423776463098</v>
      </c>
      <c r="AH10" s="33">
        <v>7.8762770648217098</v>
      </c>
      <c r="AI10" s="33" t="s">
        <v>98</v>
      </c>
      <c r="AJ10" s="33" t="s">
        <v>99</v>
      </c>
      <c r="AK10" s="55">
        <f>'GenPop Data'!AA33</f>
        <v>9.6618357487922708</v>
      </c>
      <c r="AL10" s="35">
        <v>290</v>
      </c>
      <c r="AM10" s="35">
        <v>12.6</v>
      </c>
      <c r="AN10" s="35">
        <f>'fabs and kp'!$B$4</f>
        <v>0.13300000000000001</v>
      </c>
      <c r="AO10" s="37">
        <f t="shared" si="0"/>
        <v>29.575952764358565</v>
      </c>
      <c r="AP10" s="37">
        <f t="shared" si="1"/>
        <v>2.9575952764358565E-8</v>
      </c>
      <c r="AQ10" s="36">
        <f>'fabs and kp'!$F$4</f>
        <v>1.3432326831410028E-6</v>
      </c>
      <c r="AR10" s="34">
        <v>1.3</v>
      </c>
      <c r="AS10" s="37">
        <f t="shared" si="2"/>
        <v>55.145012915841626</v>
      </c>
      <c r="AT10" s="38">
        <f t="shared" si="3"/>
        <v>5.5145012915841628E-8</v>
      </c>
    </row>
    <row r="11" spans="1:46" x14ac:dyDescent="0.25">
      <c r="A11" s="33" t="s">
        <v>152</v>
      </c>
      <c r="B11" s="33" t="s">
        <v>153</v>
      </c>
      <c r="C11" s="33" t="s">
        <v>91</v>
      </c>
      <c r="D11" s="33" t="s">
        <v>38</v>
      </c>
      <c r="E11" s="33" t="s">
        <v>100</v>
      </c>
      <c r="F11" s="33" t="s">
        <v>101</v>
      </c>
      <c r="G11" s="33" t="s">
        <v>102</v>
      </c>
      <c r="H11" s="33" t="s">
        <v>95</v>
      </c>
      <c r="I11" s="33" t="s">
        <v>103</v>
      </c>
      <c r="J11" s="33">
        <v>31</v>
      </c>
      <c r="K11" s="33">
        <v>31</v>
      </c>
      <c r="L11" s="33"/>
      <c r="M11" s="33"/>
      <c r="N11" s="33"/>
      <c r="O11" s="33" t="s">
        <v>97</v>
      </c>
      <c r="P11" s="33"/>
      <c r="Q11" s="33"/>
      <c r="R11" s="33"/>
      <c r="S11" s="33"/>
      <c r="T11" s="33"/>
      <c r="U11" s="33"/>
      <c r="V11" s="33"/>
      <c r="W11" s="33">
        <v>46.946216955332702</v>
      </c>
      <c r="X11" s="33">
        <v>16.8641750227894</v>
      </c>
      <c r="Y11" s="33"/>
      <c r="Z11" s="33"/>
      <c r="AA11" s="33"/>
      <c r="AB11" s="33">
        <v>96.875</v>
      </c>
      <c r="AC11" s="33"/>
      <c r="AD11" s="33">
        <v>2</v>
      </c>
      <c r="AE11" s="33">
        <v>16.8641750227894</v>
      </c>
      <c r="AF11" s="33">
        <v>25</v>
      </c>
      <c r="AG11" s="33"/>
      <c r="AH11" s="33"/>
      <c r="AI11" s="33" t="s">
        <v>104</v>
      </c>
      <c r="AJ11" s="33" t="s">
        <v>105</v>
      </c>
      <c r="AK11" s="55">
        <f>'GenPop Data'!AA34</f>
        <v>128.86194291876953</v>
      </c>
      <c r="AL11" s="35">
        <v>370</v>
      </c>
      <c r="AM11" s="35">
        <v>18.600000000000001</v>
      </c>
      <c r="AN11" s="35">
        <f>'fabs and kp'!$B$4</f>
        <v>0.13300000000000001</v>
      </c>
      <c r="AO11" s="37">
        <f t="shared" si="0"/>
        <v>340.92990381895964</v>
      </c>
      <c r="AP11" s="37">
        <f t="shared" si="1"/>
        <v>3.4092990381895967E-7</v>
      </c>
      <c r="AQ11" s="36">
        <f>'fabs and kp'!$F$4</f>
        <v>1.3432326831410028E-6</v>
      </c>
      <c r="AR11" s="35">
        <v>1.3</v>
      </c>
      <c r="AS11" s="37">
        <f t="shared" si="2"/>
        <v>635.67128671335342</v>
      </c>
      <c r="AT11" s="38">
        <f t="shared" si="3"/>
        <v>6.356712867133535E-7</v>
      </c>
    </row>
    <row r="12" spans="1:46" x14ac:dyDescent="0.25">
      <c r="A12" s="33" t="s">
        <v>152</v>
      </c>
      <c r="B12" s="33" t="s">
        <v>153</v>
      </c>
      <c r="C12" s="33" t="s">
        <v>123</v>
      </c>
      <c r="D12" s="33" t="s">
        <v>41</v>
      </c>
      <c r="E12" s="33" t="s">
        <v>124</v>
      </c>
      <c r="F12" s="33" t="s">
        <v>125</v>
      </c>
      <c r="G12" s="33" t="s">
        <v>106</v>
      </c>
      <c r="H12" s="33" t="s">
        <v>95</v>
      </c>
      <c r="I12" s="33"/>
      <c r="J12" s="33">
        <v>41</v>
      </c>
      <c r="K12" s="33">
        <v>10</v>
      </c>
      <c r="L12" s="33"/>
      <c r="M12" s="33"/>
      <c r="N12" s="33"/>
      <c r="O12" s="33" t="s">
        <v>97</v>
      </c>
      <c r="P12" s="33"/>
      <c r="Q12" s="33"/>
      <c r="R12" s="33"/>
      <c r="S12" s="33"/>
      <c r="T12" s="33"/>
      <c r="U12" s="33"/>
      <c r="V12" s="33"/>
      <c r="W12" s="33">
        <v>17723</v>
      </c>
      <c r="X12" s="33">
        <v>1583</v>
      </c>
      <c r="Y12" s="33">
        <v>421</v>
      </c>
      <c r="Z12" s="33"/>
      <c r="AA12" s="33"/>
      <c r="AB12" s="33">
        <v>90.909090909090907</v>
      </c>
      <c r="AC12" s="33">
        <v>9.0909090909090899</v>
      </c>
      <c r="AD12" s="33">
        <v>3</v>
      </c>
      <c r="AE12" s="33" t="s">
        <v>208</v>
      </c>
      <c r="AF12" s="33" t="s">
        <v>209</v>
      </c>
      <c r="AG12" s="33">
        <v>6119.2138441908101</v>
      </c>
      <c r="AH12" s="33">
        <v>7.4234508952252698</v>
      </c>
      <c r="AI12" s="33" t="s">
        <v>126</v>
      </c>
      <c r="AJ12" s="33" t="s">
        <v>122</v>
      </c>
      <c r="AK12" s="56">
        <f>'GenPop Data'!AA37</f>
        <v>287.59994671987084</v>
      </c>
      <c r="AL12" s="35">
        <v>980</v>
      </c>
      <c r="AM12" s="35">
        <v>80</v>
      </c>
      <c r="AN12" s="35">
        <f>'fabs and kp'!$B$4</f>
        <v>0.13300000000000001</v>
      </c>
      <c r="AO12" s="37">
        <f t="shared" si="0"/>
        <v>468.57221319334963</v>
      </c>
      <c r="AP12" s="37">
        <f t="shared" si="1"/>
        <v>4.6857221319334967E-7</v>
      </c>
      <c r="AQ12" s="36">
        <f>'fabs and kp'!$F$4</f>
        <v>1.3432326831410028E-6</v>
      </c>
      <c r="AR12" s="35">
        <v>1.3</v>
      </c>
      <c r="AS12" s="37">
        <f t="shared" si="2"/>
        <v>873.66317340384626</v>
      </c>
      <c r="AT12" s="38">
        <f t="shared" si="3"/>
        <v>8.7366317340384628E-7</v>
      </c>
    </row>
  </sheetData>
  <autoFilter ref="A2:AT2" xr:uid="{10FDFAFB-701E-4C49-BB3F-F3713A026CF8}"/>
  <mergeCells count="2">
    <mergeCell ref="AN1:AP1"/>
    <mergeCell ref="AQ1:AT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4" ma:contentTypeDescription="Create a new document." ma:contentTypeScope="" ma:versionID="130393ee65683b13c8a82f65ea54bc8f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4e79eb2c05a57ab9a90a50a7c0cc4fe7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606CD-572A-4B57-8997-D9EF653E953F}">
  <ds:schemaRefs>
    <ds:schemaRef ds:uri="4ef35ed2-7b89-47ee-ae6c-9f578d694a2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9446d851-bce4-499e-8a9e-7465504b09d4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652BD0-A951-4BD4-A336-9D9876CA7B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B2637-D925-4564-948B-382879D33EDA}"/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Study Information</vt:lpstr>
      <vt:lpstr>fabs and kp</vt:lpstr>
      <vt:lpstr>GenPop Data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Luh, Jeanne</dc:creator>
  <cp:keywords/>
  <dc:description/>
  <cp:lastModifiedBy>Bevington, Charles</cp:lastModifiedBy>
  <cp:revision/>
  <dcterms:created xsi:type="dcterms:W3CDTF">2023-10-26T00:59:57Z</dcterms:created>
  <dcterms:modified xsi:type="dcterms:W3CDTF">2024-09-24T15:09:49Z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  <property fmtid="{D5CDD505-2E9C-101B-9397-08002B2CF9AE}" pid="3" name="MediaServiceImageTags">
    <vt:lpwstr/>
  </property>
</Properties>
</file>