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codeName="ThisWorkbook" defaultThemeVersion="166925"/>
  <mc:AlternateContent xmlns:mc="http://schemas.openxmlformats.org/markup-compatibility/2006">
    <mc:Choice Requires="x15">
      <x15ac:absPath xmlns:x15ac="http://schemas.microsoft.com/office/spreadsheetml/2010/11/ac" url="https://cpscgovdc-my.sharepoint.com/personal/cbevington_cpsc_gov/Documents/Desktop/TO_16_PHOP HBM Clearance and Posting/22 Supporting Files for Web Posting_508/"/>
    </mc:Choice>
  </mc:AlternateContent>
  <xr:revisionPtr revIDLastSave="0" documentId="8_{A775B328-1BAF-4106-BDEE-2554BD257F8C}" xr6:coauthVersionLast="47" xr6:coauthVersionMax="47" xr10:uidLastSave="{00000000-0000-0000-0000-000000000000}"/>
  <bookViews>
    <workbookView xWindow="28680" yWindow="-120" windowWidth="29040" windowHeight="15840" tabRatio="776" xr2:uid="{83EABBCF-38F0-47E4-890C-3027CEDF802B}"/>
  </bookViews>
  <sheets>
    <sheet name="readme" sheetId="2" r:id="rId1"/>
    <sheet name="Urine ICCs" sheetId="1" r:id="rId2"/>
    <sheet name="Urine ICCs_for analysis" sheetId="3" r:id="rId3"/>
    <sheet name="Parameter estimation for 20" sheetId="8" r:id="rId4"/>
    <sheet name="GSD Calc_139-BDCIPP" sheetId="5" r:id="rId5"/>
    <sheet name="GSD Calc_20-BCIPHIP" sheetId="6" r:id="rId6"/>
    <sheet name="GSD Calc_20-BDCIPP" sheetId="7" r:id="rId7"/>
  </sheets>
  <definedNames>
    <definedName name="_Toc151370152" localSheetId="0">readme!$A$26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6" l="1"/>
  <c r="C18" i="6" s="1"/>
  <c r="D8" i="6"/>
  <c r="D11" i="6" s="1"/>
  <c r="C8" i="6"/>
  <c r="B8" i="6"/>
  <c r="B9" i="7"/>
  <c r="K5" i="8"/>
  <c r="L5" i="8" s="1"/>
  <c r="M5" i="8" s="1"/>
  <c r="K4" i="8"/>
  <c r="L4" i="8" s="1"/>
  <c r="M4" i="8" s="1"/>
  <c r="C17" i="6" l="1"/>
  <c r="C9" i="6" s="1"/>
  <c r="B11" i="6"/>
  <c r="B17" i="6"/>
  <c r="B10" i="6"/>
  <c r="B18" i="6"/>
  <c r="D18" i="6"/>
  <c r="B12" i="6"/>
  <c r="D9" i="6"/>
  <c r="C11" i="6"/>
  <c r="D17" i="6"/>
  <c r="C12" i="6" l="1"/>
  <c r="C21" i="6"/>
  <c r="C10" i="6"/>
  <c r="D12" i="6"/>
  <c r="D21" i="6"/>
  <c r="D10" i="6"/>
  <c r="D8" i="7"/>
  <c r="C8" i="7"/>
  <c r="B8" i="7"/>
  <c r="B9" i="5"/>
  <c r="D8" i="5"/>
  <c r="C8" i="5"/>
  <c r="B8" i="5"/>
  <c r="B11" i="5" s="1"/>
  <c r="B10" i="7" l="1"/>
  <c r="D18" i="7"/>
  <c r="D17" i="7"/>
  <c r="D11" i="7"/>
  <c r="C17" i="5"/>
  <c r="D17" i="5"/>
  <c r="D9" i="5" s="1"/>
  <c r="D18" i="5"/>
  <c r="C11" i="7"/>
  <c r="D9" i="7"/>
  <c r="D21" i="7" s="1"/>
  <c r="B11" i="7"/>
  <c r="C17" i="7"/>
  <c r="B18" i="7"/>
  <c r="C18" i="7"/>
  <c r="C9" i="7" s="1"/>
  <c r="B17" i="7"/>
  <c r="B12" i="7"/>
  <c r="C11" i="5"/>
  <c r="B12" i="5"/>
  <c r="B17" i="5"/>
  <c r="C18" i="5"/>
  <c r="B18" i="5"/>
  <c r="D11" i="5"/>
  <c r="B10" i="5"/>
  <c r="C21" i="7" l="1"/>
  <c r="C10" i="7"/>
  <c r="D10" i="5"/>
  <c r="D21" i="5"/>
  <c r="D10" i="7"/>
  <c r="C9" i="5"/>
  <c r="C21" i="5" s="1"/>
  <c r="C12" i="7"/>
  <c r="D12" i="7"/>
  <c r="D12" i="5"/>
  <c r="C12" i="5" l="1"/>
  <c r="C10" i="5"/>
  <c r="F4" i="1" l="1"/>
  <c r="G4" i="1"/>
  <c r="H4" i="1"/>
  <c r="E4" i="1"/>
  <c r="H10" i="1"/>
  <c r="I10" i="1"/>
  <c r="J10" i="1"/>
  <c r="K10" i="1"/>
  <c r="L10" i="1"/>
  <c r="M10" i="1"/>
  <c r="N10" i="1"/>
  <c r="O10" i="1"/>
  <c r="P10" i="1"/>
  <c r="Q10" i="1"/>
  <c r="R10" i="1"/>
  <c r="G10" i="1"/>
  <c r="E10" i="1" l="1"/>
  <c r="G8" i="1" l="1"/>
  <c r="H8" i="1" l="1"/>
  <c r="I8" i="1"/>
  <c r="J8" i="1"/>
  <c r="K8" i="1"/>
  <c r="L8" i="1"/>
  <c r="M8" i="1"/>
  <c r="N8" i="1"/>
  <c r="O8" i="1"/>
  <c r="P8" i="1"/>
  <c r="Q8" i="1"/>
  <c r="R8" i="1"/>
  <c r="H9" i="1"/>
  <c r="I9" i="1"/>
  <c r="J9" i="1"/>
  <c r="K9" i="1"/>
  <c r="L9" i="1"/>
  <c r="M9" i="1"/>
  <c r="N9" i="1"/>
  <c r="O9" i="1"/>
  <c r="P9" i="1"/>
  <c r="Q9" i="1"/>
  <c r="R9" i="1"/>
  <c r="G9" i="1"/>
  <c r="H2" i="1" l="1"/>
  <c r="E3" i="1"/>
  <c r="E9" i="1"/>
  <c r="H3" i="1"/>
  <c r="G3" i="1"/>
  <c r="F3" i="1"/>
  <c r="E2" i="1"/>
  <c r="G2" i="1"/>
  <c r="F2" i="1"/>
  <c r="E8" i="1"/>
</calcChain>
</file>

<file path=xl/sharedStrings.xml><?xml version="1.0" encoding="utf-8"?>
<sst xmlns="http://schemas.openxmlformats.org/spreadsheetml/2006/main" count="773" uniqueCount="243">
  <si>
    <t>Ingle, M. E., Watkins, D., Rosario, Z., Vélez Vega, C. M., Huerta-Montanez, G., Calafat, A. M., Ospina, M., Cordero, J. F., Alshawabkeh, A., Meeker, J. D.</t>
  </si>
  <si>
    <t>The association of urinary organophosphate ester metabolites and self-reported personal care and household product use among pregnant women in Puerto Rico</t>
  </si>
  <si>
    <t>Percy, Z., Vuong, A. M., Xu, Y., Xie, C., Ospina, M., Calafat, A. M., Hoofnagle, A., Lanphear, B. P., Braun, J. M., Cecil, K. M., Dietrich, K. N., Yolton, K., Chen, A.</t>
  </si>
  <si>
    <t>Maternal Urinary Organophosphate Esters and Alterations in Maternal and Neonatal Thyroid Hormones</t>
  </si>
  <si>
    <t>Percy, Z., Vuong, A. M., Ospina, M., Calafat, A. M., La Guardia, M. J., Xu, Y. Y., Hale, R. C., Dietrich, K. N., Xie, C. C., Lanphear, B. P., Braun, J. M., Cecil, K. M., Yolton, K., Chen, A. M.</t>
  </si>
  <si>
    <t>Organophosphate esters in a cohort of pregnant women: Variability and predictors of exposure</t>
  </si>
  <si>
    <t>Kuiper, J. R., Stapleton, H. M., Wills-Karp, M., Wang, X., Burd, I., Buckley, J. P.</t>
  </si>
  <si>
    <t>Predictors and reproducibility of urinary organophosphate ester metabolite concentrations during pregnancy and associations with birth outcomes in an urban population</t>
  </si>
  <si>
    <t>Romano, M. E., Hawley, N. L., Eliot, M., Calafat, A. M., Jayatilaka, N. K., Kelsey, K., McGarvey, S., Phipps, M. G., Savitz, D. A., Werner, E. F., Braun, J. M.</t>
  </si>
  <si>
    <t>Variability and predictors of urinary concentrations of organophosphate flame retardant metabolites among pregnant women in Rhode Island</t>
  </si>
  <si>
    <t>W. Yang, J. M. Braun, A. M. Vuong, Z. Percy, Y. Xu, C. Xie, R. Deka, A. M. Calafat, M. Ospina, H. H. Burris, K. Yolton, K. M. Cecil, B. P. Lanphear and A. Chen</t>
  </si>
  <si>
    <t>2023</t>
  </si>
  <si>
    <t>Gestational exposure to organophosphate esters and infant anthropometric measures in the first 4 weeks after birth</t>
  </si>
  <si>
    <t>Hou, M., Fang, J., Shi, Y., Tang, S., Dong, H., Liu, Y., Deng, F., Giesy, J. P., Godri Pollitt, K. J., Cai, Y., Shi, X.</t>
  </si>
  <si>
    <t>Exposure to organophosphate esters in elderly people: Relationships of OPE body burdens with indoor air and dust concentrations and food consumption</t>
  </si>
  <si>
    <t>Gibson, E. A., Stapleton, H. M., Calero, L., Holmes, D., Burke, K., Martinez, R., Cortes, B., Nematollahi, A., Evans, D., Herbstman, J. B.</t>
  </si>
  <si>
    <t>Flame retardant exposure assessment: findings from a behavioral intervention study</t>
  </si>
  <si>
    <t>Bommarito, P. A., Welch, B. M., Keil, A. P., Baker, G. P., Cantonwine, D. E., McElrath, T. F., Ferguson, K. K.</t>
  </si>
  <si>
    <t>Prenatal exposure to consumer product chemical mixtures and size for gestational age at delivery</t>
  </si>
  <si>
    <t>Shi, Y., Zheng, X., Yan, X., Wang, Y., Xu, R., Wang, M., Ren, M., Zheng, J.</t>
  </si>
  <si>
    <t>Short-term variability in levels of urinary phosphate flame retardant metabolites in adults and children from an e-waste recycling site</t>
  </si>
  <si>
    <t>K. Hoffman, J. L. Levasseur, S. Zhang, D. Hay, N. J. Herkert and H. M. Stapleton</t>
  </si>
  <si>
    <t>Monitoring Human Exposure to Organophosphate Esters: Comparing Silicone Wristbands with Spot Urine Samples as Predictors of Internal Dose</t>
  </si>
  <si>
    <t>Wang, Y., Li, W., Martínez-Moral, M. P., Sun, H., Kannan, K.</t>
  </si>
  <si>
    <t>Metabolites of organophosphate esters in urine from the United States: Concentrations, temporal variability, and exposure assessment</t>
  </si>
  <si>
    <t>Hoffman, K., Daniels, J. L., Stapleton, H. M.</t>
  </si>
  <si>
    <t>Urinary metabolites of organophosphate flame retardants and their variability in pregnant women</t>
  </si>
  <si>
    <t>Bastiaensen, M., Gys, C., Malarvannan, G., Fotache, M., Bombeke, J., Ait Bamai, Y., Araki, A., Covaci, A.</t>
  </si>
  <si>
    <t>Short-term temporal variability of urinary biomarkers of organophosphate flame retardants and plasticizers</t>
  </si>
  <si>
    <t>Refid</t>
  </si>
  <si>
    <t>Author</t>
  </si>
  <si>
    <t>Year</t>
  </si>
  <si>
    <t>Title</t>
  </si>
  <si>
    <t>Uncorrected</t>
  </si>
  <si>
    <t>SG-corrected</t>
  </si>
  <si>
    <t>Creatinine-corrected</t>
  </si>
  <si>
    <t>Comment/rationale</t>
  </si>
  <si>
    <t>SG-corrected urine conc median and percentiles supp table S2, and ICC Table 3 and supp table S3; analyses in paper on demographics reported as ORs or % diff</t>
  </si>
  <si>
    <t>Spot samples and 24-hour pools; 10 adults. 2 of 3 big 3, with additional metabolite for one. Supp gives levels for blanks. ICCs in table 2</t>
  </si>
  <si>
    <t>Additional notes</t>
  </si>
  <si>
    <t>also has 95% CI for ICCs</t>
  </si>
  <si>
    <t>NA</t>
  </si>
  <si>
    <t>Urine ICCs</t>
  </si>
  <si>
    <t>Population</t>
  </si>
  <si>
    <t>convenience sample of 10 adults from North Carolina</t>
  </si>
  <si>
    <t>adults (29-64 years old with a mean age of 47 years), China, e-waste</t>
  </si>
  <si>
    <t>children (1-17 years old with a mean age of 9
years), China, e-waste</t>
  </si>
  <si>
    <t>might be best ICC study. See table 2. also has 95% CI for ICCs.</t>
  </si>
  <si>
    <t>19 healthy volunteers (ages 11-56, Asian or Caucasian, male and female) who were living in Albany, New York</t>
  </si>
  <si>
    <t>morning void samples, 5 consecutive days (n=50)</t>
  </si>
  <si>
    <t>spot samples (n=309)</t>
  </si>
  <si>
    <t>another good ICC study, comparing spot vs morning void samples</t>
  </si>
  <si>
    <t>pregnant puerto rican women</t>
  </si>
  <si>
    <t>pregnant women, HOMES cohort</t>
  </si>
  <si>
    <t>pregnant women, ORCHARD cohort</t>
  </si>
  <si>
    <t>pregnant women, Rhode island cohort</t>
  </si>
  <si>
    <t>healthy Chinese adults, aged 60-69</t>
  </si>
  <si>
    <t>adult women (mothers of children aged 3-6). African American and Dominican. ICCs and reported concentrations are only from mothers (child data incomplete).</t>
  </si>
  <si>
    <t>pregnant women, LIFECODES cohort</t>
  </si>
  <si>
    <t>Studies with ICCs reported for multiple populations have a row for each population, and cells are highlighted light blue.</t>
  </si>
  <si>
    <t>ICCs include 2 arms of an intervention study</t>
  </si>
  <si>
    <t>also has 95% CI for ICCs. Extracted from Table S4. Table S5 is ICC of pregnancy average vs pooled samples.</t>
  </si>
  <si>
    <t>SG-adjusted urine conc summary stats and percentiles for main 3; demographic eval is only correlation, but data from Puerto Rico (PROTECT cohort). Has ICC in Table 3.</t>
  </si>
  <si>
    <t>Complements Ref 130 - same cohort; supp table 2 has conc data. ICC in Table 1. Main doc and supp include analyses by race, education, etc. - but as exponentiated regression coefficient (concentration ratio)</t>
  </si>
  <si>
    <t>SG-standardized median and percentiles from pooled samples- see Supp Table 3; main text gives % variability as a function of demographics; Sup Tables S4 and S5 have ICCs</t>
  </si>
  <si>
    <t>HOME study. Table 1 - SG-standardized urine conc by race and other demographic categories. Table 2 includes ICCs.</t>
  </si>
  <si>
    <t>Could be a good study to compare urine and blood approaches, since it has both. elderly, but China; BCEP, BCIPP, BDCIPP measured, but median reported in table only for BDCIPP. Too few detects for others. Reported range, median, geomean for SG-corrected urine. Multiple samples and ICC but no trend. Demographic no trend - in supplemental. TCEP, TCIPP, TDCIPP also measured untransformed in urine, medians not reported. Medians could be digitally extracted from Fig 1 if needed. Medians may be in supplement.</t>
  </si>
  <si>
    <t>African Americans and Dominican pop; SG-adjusted urine conc - use Table 3 - pre-intervention. Also reports ICC - Table 4. Sibling-Hermanos Cohort</t>
  </si>
  <si>
    <t>Specific gravity-adjusted; Supp Table 4 gives median biomarker by demographic group. Ref 129 is same cohort (LIFECODES), has data separated by time of sampling - 3 visits during pregnancy. Supp table 5 has ICC</t>
  </si>
  <si>
    <t>8 pregnant women, spot samples during pregnancy and after birth, 24-hr sample @18 wks. SG-corrected. BDCPP Sample from Chapel Hill, North Carolina. No. supp. ICC in Table 2.</t>
  </si>
  <si>
    <t>Comment/rationale column was retained to aid in finding ICCs in PDF/supplement more quickly.</t>
  </si>
  <si>
    <t>Creatinine-standardized summary stats in supplemental. Large study with ICC (in text of main PDF); demographics collected but not analyzed</t>
  </si>
  <si>
    <r>
      <t xml:space="preserve">Also has ICCs in blood for TCEP and TCIPP (but not TDCIPP), Table S12; </t>
    </r>
    <r>
      <rPr>
        <sz val="11"/>
        <rFont val="Calibri"/>
        <family val="2"/>
        <scheme val="minor"/>
      </rPr>
      <t>also has 95% CI for ICCs</t>
    </r>
  </si>
  <si>
    <t>China, e-waste site. Has ICCs (in main text). No urine adjustments. No reference site.</t>
  </si>
  <si>
    <t>Sampled every 3 days for 5 weeks - excellent study for ICC (table 2); SG-adjusted and CR-adjusted urince conc for all 3 of big 3. Supp has conc by age, gender, ethnicity, BMI</t>
  </si>
  <si>
    <t>Belgian study. ICC values for BCIPHIPP and BDCIPP (Table 2). Spot urine and pooled samples. SG and creatinine corrected. 24-hr urine.</t>
  </si>
  <si>
    <t>Max</t>
  </si>
  <si>
    <t>Min</t>
  </si>
  <si>
    <t>BCEP_SG</t>
  </si>
  <si>
    <t>BCIPP_SG</t>
  </si>
  <si>
    <t>BCIPHIPP_SG</t>
  </si>
  <si>
    <t>BDCIPP_SG</t>
  </si>
  <si>
    <t>BCEP_CR</t>
  </si>
  <si>
    <t>BCIPP_CR</t>
  </si>
  <si>
    <t>BCIPHIPP_CR</t>
  </si>
  <si>
    <t>BDCIPP_CR</t>
  </si>
  <si>
    <t>BCEP_UN</t>
  </si>
  <si>
    <t>BCIPP_UN</t>
  </si>
  <si>
    <t>BCIPHIPP_UN</t>
  </si>
  <si>
    <t>BDCIPP_UN</t>
  </si>
  <si>
    <t>No corrected ICC reported for BCIPP; also has 95% CI for ICCs. Extracted ICCs from Table 3. ICCs in supplement include assay variability as well</t>
  </si>
  <si>
    <t>8 pregnant NC women, samples at 18 weeks of pregnancy</t>
  </si>
  <si>
    <t>8 pregnant NC women, entire pregnancy</t>
  </si>
  <si>
    <t>Ingle, M. E., Mínguez-Alarcón, L., Carignan, C. C., Butt, C. M., Stapleton, H. M., Williams, P. L., Ford, J. B., Hauser, R., Meeker, J. D.</t>
  </si>
  <si>
    <t>The association between urinary concentrations of phosphorous-containing flame retardant metabolites and semen parameters among men from a fertility clinic</t>
  </si>
  <si>
    <t>men 18-54 years of age, attending fertility clinic (all samples)</t>
  </si>
  <si>
    <t>men 18-54 years of age, attending fertility clinic (excluding non-detects)</t>
  </si>
  <si>
    <t>Meeker, J. D., Cooper, E. M., Stapleton, H. M., Hauser, R.</t>
  </si>
  <si>
    <t>Urinary metabolites of organophosphate flame retardants: temporal variability and correlations with house dust concentrations</t>
  </si>
  <si>
    <t>7 men, time trend. ICC</t>
  </si>
  <si>
    <t>men, all samples</t>
  </si>
  <si>
    <t>men, excluding non-detect</t>
  </si>
  <si>
    <t>L. M. Louis, L. Quirós-Alcalá, J. R. Kuiper, G. Diette, N. N. Hansel, M. C. McCormack, J. D. Meeker and J. P. Buckley</t>
  </si>
  <si>
    <t>2022</t>
  </si>
  <si>
    <t>Variability and predictors of urinary organophosphate ester concentrations among school-aged children</t>
  </si>
  <si>
    <t>predominantly black children, asthma, overall</t>
  </si>
  <si>
    <t>predominantly black children, asthma, day 4 samples (Wednesday)</t>
  </si>
  <si>
    <t>predominantly black children, asthma, Day 7 samples (Saturday)</t>
  </si>
  <si>
    <t>Ingle, M. E., Watkins, D., Rosario, Z., VélezVega, C. M., Calafat, A. M., Ospina, M., Ferguson, K. K., Cordero, J. F., Alshawabkeh, A., Meeker, J. D.</t>
  </si>
  <si>
    <t>An exploratory analysis of urinary organophosphate ester metabolites and oxidative stress among pregnant women in Puerto Rico</t>
  </si>
  <si>
    <t>pregnant women, puerto rico</t>
  </si>
  <si>
    <t>W. Yang, J. M. Braun, A. M. Vuong, Z. Percy, Y. Xu, C. Xie, R. Deka, A. M. Calafat, M. Ospina, E. Werner, K. Yolton, K. M. Cecil, B. P. Lanphear and A. Chen</t>
  </si>
  <si>
    <t>Maternal urinary OPE metabolite concentrations and blood pressure during pregnancy: The HOME study</t>
  </si>
  <si>
    <t>HOME cohort, pregnant women. SG adjusted. Multiple SES variables. ICC in table 3</t>
  </si>
  <si>
    <t>pregnant women</t>
  </si>
  <si>
    <t>Carignan, C. C., Mínguez-Alarcón, L., Williams, P. L., Meeker, J. D., Stapleton, H. M., Butt, C. M., Toth, T. L., Ford, J. B., Hauser, R.</t>
  </si>
  <si>
    <t>Paternal urinary concentrations of organophosphate flame retardant metabolites, fertility measures, and pregnancy outcomes among couples undergoing in vitro fertilization</t>
  </si>
  <si>
    <t>EARTH study, men</t>
  </si>
  <si>
    <t>Carignan, C. C., Minguez-Alarcon, L., Butt, C. M., Williams, P. L., Meeker, J. D., Stapleton, H. M., Toth, T. L., Ford, J. B., Hauser, R., Team, Earth Study</t>
  </si>
  <si>
    <t>Urinary Concentrations of Organophosphate Flame Retardant Metabolites and Pregnancy Outcomes among Women Undergoing in Vitro Fertilization</t>
  </si>
  <si>
    <t>Same cohort as 139, 140 - EARTH study; Table 2 has nice summary data with percentiles. ICCs in texxt on p. 4</t>
  </si>
  <si>
    <t>EARTH study, women (across cycles)</t>
  </si>
  <si>
    <t>EARTH study, women (within cycle)</t>
  </si>
  <si>
    <t>Welch, B. M., Keil, A. P., Bommarito, P. A., van T' Erve, T. J., Deterding, L. J., Williams, J. G., Lih, F. B., Cantonwine, D. E., McElrath, T. F., Ferguson, K. K.</t>
  </si>
  <si>
    <t>Longitudinal exposure to consumer product chemicals and changes in plasma oxylipins in pregnant women</t>
  </si>
  <si>
    <t>Same cohort (LIFECODES) as Ref 66. ICC in table 2.</t>
  </si>
  <si>
    <t>LIFECODES, pregnant women</t>
  </si>
  <si>
    <t>Luo, D., Liu, W., Wu, W., Tao, Y., Hu, L., Wang, L., Yu, M., Zhou, A., Covaci, A., Xia, W., Xu, S., Li, Y., Mei, S.</t>
  </si>
  <si>
    <t>Trimester-specific effects of maternal exposure to organophosphate flame retardants on offspring size at birth: A prospective cohort study in China</t>
  </si>
  <si>
    <t>pregnant women, China</t>
  </si>
  <si>
    <t>Liu, W., Luo, D., Xia, W., Tao, Y., Wang, L., Yu, M., Hu, L., Zhou, A., Covaci, A., Lin, C., Xu, S., Mei, S., Li, Y.</t>
  </si>
  <si>
    <t>Prenatal exposure to halogenated, aryl, and alkyl organophosphate esters and child neurodevelopment at two years of age</t>
  </si>
  <si>
    <t>Tao, Y., Hu, L. Q., Liu, L., Yu, M., Li, Y. P., Li, X., Liu, W. Y., Luo, D., Covaci, A., Xia, W., Xu, S. Q., Li, Y. Y., Mei, S. R.</t>
  </si>
  <si>
    <t>Prenatal exposure to organophosphate esters and neonatal thyroid-stimulating hormone levels: A birth cohort study in Wuhan, China</t>
  </si>
  <si>
    <t>BCEP measured as TCEP; also has 95% CI for ICCs</t>
  </si>
  <si>
    <t>Wang, L. M., Luo, D., Li, X., Hu, L. Q., Chen, J. X., Tu, Z. Z., Sun, B., Chen, H. G., Liu, L., Yu, M., Li, Y. P., Pan, A., Messerlian, C., Mei, S. R., Wang, Y. X.</t>
  </si>
  <si>
    <t>Temporal variability of organophosphate flame retardant metabolites in spot, first morning, and 24-h urine samples among healthy adults</t>
  </si>
  <si>
    <t>healthy Chinese adults, average age 22, spot samples</t>
  </si>
  <si>
    <t>healthy Chinese adults, average age 22, morning void</t>
  </si>
  <si>
    <t>healthy Chinese adults, average age 22, 24-hour collection</t>
  </si>
  <si>
    <t>Messerlian, C., Williams, P. L., Mínguez-Alarcón, L., Carignan, C. C., Ford, J. B., Butt, C. M., Meeker, J. D., Stapleton, H. M., Souter, I., Hauser, R.</t>
  </si>
  <si>
    <t>Organophosphate flame-retardant metabolite concentrations and pregnancy loss among women conceiving with assisted reproductive technology</t>
  </si>
  <si>
    <t>pregnant women (assisted reproductive technology), mostly white, between cycle</t>
  </si>
  <si>
    <t>pregnant women (assisted reproductive technology), mostly white, within cycle</t>
  </si>
  <si>
    <t>Crawford, K. A., Hawley, N., Calafat, A. M., Jayatilaka, N. K., Froehlich, R. J., Has, P., Gallagher, L. G., Savitz, D. A., Braun, J. M., Werner, E. F., Romano, M. E.</t>
  </si>
  <si>
    <t>Maternal urinary concentrations of organophosphate ester metabolites: associations with gestational weight gain, early life anthropometry, and infant eating behaviors among mothers-infant pairs in Rhode Island</t>
  </si>
  <si>
    <t>Pregnant women</t>
  </si>
  <si>
    <t>Cequier, E., Sakhi, A. K., Marcé, R. M., Becher, G., Thomsen, C.</t>
  </si>
  <si>
    <t>Human exposure pathways to organophosphate triesters - a biomonitoring study of mother-child pairs</t>
  </si>
  <si>
    <t>Use this rather than 13 Supp, which has urine data for Cequier et al. 2014b - the urine study corresponding to the hair study. Ref 124 has larger sample from same cohort. SG-adjusted urine, but Norwegian. ICC in text, section 3.2.1.</t>
  </si>
  <si>
    <t>mothers</t>
  </si>
  <si>
    <t>For tab "Urine ICCs":</t>
  </si>
  <si>
    <t>predominantly (94%) black children with asthma in Baltimore. Spot samples, mutliple visits over 9 months, SG-correction. 3 of big 3 (BCPP in supplement). ICC in table 3</t>
  </si>
  <si>
    <t>Same cohort as Ref 70 (PROTECT - pregnant women in puerto rico). Short communication. Sg adjusted. ICCs in table 2</t>
  </si>
  <si>
    <t>139 - see Table 2 - SG-adjusted conc in urine; 140 - Table 2, also SG-adjusted. EARTH study. consider alongside 139 and 176; 1 chemical is all &lt;MDL. ICC in text section 3.2</t>
  </si>
  <si>
    <t>China. Somewhat different cut of the Wuhan cohort - multiple trimester data (with refs 162, 150). SG-corrected. ICC in table 2</t>
  </si>
  <si>
    <t>China. May be same cohort as Ref 162 and 147, but 162 is a much larger study and lower exposure. Like 162, this has concentration by trimester. Both have percentiles. ICC in table 2</t>
  </si>
  <si>
    <t>China - less relevant. But have SG-adjusted urine conc for TCEP and metabolites for two of the big 3, by trimester, GM(95% CI) - in supplemental. Supplement als includes comparison of gemoetric means across countries, from other studies. ICC in table S4</t>
  </si>
  <si>
    <t>Spot, first morning, and 24-hour urine samples over 7 consecutive days. TCEP, BDCIPP, BCIPHIPP. SG-adjusted and Cr-adjusted. China, but 24-hour urine is key; supplement also includes separate male vs female and BMI categories. ICC in Table 3</t>
  </si>
  <si>
    <t>Ref 139 and 140 are same study - 139 is pregnant women, 140 is the males. Table 2, SG-adjusted. Note 176 is erratum to ref 139. EARTH study. consider alongside 140 and 176; 1 chemical is all &lt;MDL. ICCs in text on p. 4</t>
  </si>
  <si>
    <t>Same cohort as ref 173 (WHIRI Rhode Island). Pregnant women, but this study focuses on effect. More detail on HBM in 173. Table 2 reports median and IQR; supp just had correlation. ICC in text on p. 3</t>
  </si>
  <si>
    <t>Population column (F) was added to aid in interpretation of ICCs</t>
  </si>
  <si>
    <t>Columns G-R include data extracted. ICCs are copied exactly as reported in PDFs (i.e., no rounding), and are reported by correction method and PHOP metabolite.</t>
  </si>
  <si>
    <t>Overall max</t>
  </si>
  <si>
    <t>Overall min</t>
  </si>
  <si>
    <t>When references cite ICCs from other studies, the cited studies were confirmed to be among the studies for which ICCs are already extracted. Studies that cite ICCs from others but do not contribute novel ICCs are documented in PHOP HBM Prioritization Final_8.1.23.xlsx</t>
  </si>
  <si>
    <t>Reference metadata (columns A-D) and comment/rationale (column E) were copied directly from PHOP HBM Prioritization Final_8.1.23.xlsx</t>
  </si>
  <si>
    <t>When multiple adjacent studies report ICCs for multiple populations, rows from alternate studies are highlighted light light green and light blue.</t>
  </si>
  <si>
    <t>all max</t>
  </si>
  <si>
    <t>all min</t>
  </si>
  <si>
    <t>BCEP</t>
  </si>
  <si>
    <t>BCIPP</t>
  </si>
  <si>
    <t>BDCIPP</t>
  </si>
  <si>
    <t>BCIPHIPP</t>
  </si>
  <si>
    <t>Overall median</t>
  </si>
  <si>
    <t>all median</t>
  </si>
  <si>
    <t>Median</t>
  </si>
  <si>
    <t>For use in NHANES</t>
  </si>
  <si>
    <t>Condiderations for ICC analyses</t>
  </si>
  <si>
    <t>ICC for spot samples, n=309, across 10 individuals, 5 consecutive days</t>
  </si>
  <si>
    <t>Picked for ICC analysis</t>
  </si>
  <si>
    <t>Total number of samples</t>
  </si>
  <si>
    <t>Number of subjects</t>
  </si>
  <si>
    <t>m (Samples per subject)</t>
  </si>
  <si>
    <t>Yes, for spot only</t>
  </si>
  <si>
    <t>ICCs calculated within shorter period of time, in addition to over a longer period (across weeks of pregnancy). Using ICCs from shorter period</t>
  </si>
  <si>
    <t>Yes, for shorter time period</t>
  </si>
  <si>
    <t>SG-corrected ICCs</t>
  </si>
  <si>
    <t>Inputs</t>
  </si>
  <si>
    <t>Spot Sample GM</t>
  </si>
  <si>
    <t>Calculated</t>
  </si>
  <si>
    <t>Spot sample GSD</t>
  </si>
  <si>
    <t>ICC=1</t>
  </si>
  <si>
    <t>ICC obs</t>
  </si>
  <si>
    <t>ICC=0</t>
  </si>
  <si>
    <t>GM</t>
  </si>
  <si>
    <t>GSD</t>
  </si>
  <si>
    <t>95th percentile</t>
  </si>
  <si>
    <t>Mean (ln data)</t>
  </si>
  <si>
    <t>Std dev (ln data)</t>
  </si>
  <si>
    <t>ICC</t>
  </si>
  <si>
    <t>m (repeats)</t>
  </si>
  <si>
    <t>Xmin</t>
  </si>
  <si>
    <t>Xmax</t>
  </si>
  <si>
    <r>
      <t xml:space="preserve">Calculation of GSDs (BCIPHPP, </t>
    </r>
    <r>
      <rPr>
        <b/>
        <sz val="20"/>
        <color rgb="FFFF0000"/>
        <rFont val="Times New Roman"/>
        <family val="1"/>
      </rPr>
      <t>ug/L</t>
    </r>
    <r>
      <rPr>
        <b/>
        <sz val="20"/>
        <color theme="1"/>
        <rFont val="Times New Roman"/>
        <family val="1"/>
      </rPr>
      <t>)</t>
    </r>
  </si>
  <si>
    <r>
      <t xml:space="preserve">Calculation of GSDs (BDCIPP, </t>
    </r>
    <r>
      <rPr>
        <b/>
        <sz val="20"/>
        <color rgb="FFFF0000"/>
        <rFont val="Times New Roman"/>
        <family val="1"/>
      </rPr>
      <t>ug/L</t>
    </r>
    <r>
      <rPr>
        <b/>
        <sz val="20"/>
        <color theme="1"/>
        <rFont val="Times New Roman"/>
        <family val="1"/>
      </rPr>
      <t>)</t>
    </r>
  </si>
  <si>
    <t>Column S includes additional comments on extracted ICCs.</t>
  </si>
  <si>
    <t>For use in NHANES analyses, the overall minimum, maximum, and median ICC values are reported for each metabolite across all correction methods.</t>
  </si>
  <si>
    <t>Above the table of extracted ICCs, the minimum, maximum, and median ICC values are reported for each metabolite/correction method.</t>
  </si>
  <si>
    <t>The "GSD_Calc" tabs calculate an adjusted GSD based on study- and chemical-specific ICC, reported (or estimated) geometric mean (GM), and  reported (or estimated) geometric standard deviation (GSD), and study-speficic m.</t>
  </si>
  <si>
    <t>ICCs and relevant population information are extracted here for studies identified as including ICCs for PHOP chemicals from Distiller screening and/or prioritization of references for full extraction.</t>
  </si>
  <si>
    <t>Input, but estimated based on parameters reported the study</t>
  </si>
  <si>
    <r>
      <t xml:space="preserve">Calculation of GSDs (BDCIPP, </t>
    </r>
    <r>
      <rPr>
        <b/>
        <sz val="20"/>
        <color rgb="FFFF0000"/>
        <rFont val="Times New Roman"/>
        <family val="1"/>
      </rPr>
      <t>ug/L)</t>
    </r>
  </si>
  <si>
    <t>20-Bastiaensen-2021</t>
  </si>
  <si>
    <t>Distribution of uncorrected PFR metabolites (ng/mL) in all spot urine samples (n = 309) and 24-hour pooled urine (n = 10).</t>
  </si>
  <si>
    <t>Chemical</t>
  </si>
  <si>
    <t>Sampling type</t>
  </si>
  <si>
    <t>LOD</t>
  </si>
  <si>
    <t>%&gt;LOQ</t>
  </si>
  <si>
    <t>Sample size</t>
  </si>
  <si>
    <t>Minimum</t>
  </si>
  <si>
    <t>25th percentile</t>
  </si>
  <si>
    <t>75th percentile</t>
  </si>
  <si>
    <t>Maximum</t>
  </si>
  <si>
    <t>Geometric Mean (estimated)</t>
  </si>
  <si>
    <t>95th Percentile (estimated)</t>
  </si>
  <si>
    <t>Geometric Standard Deviation (Estimated)</t>
  </si>
  <si>
    <t>spot</t>
  </si>
  <si>
    <t>For calculating 95th percentiles</t>
  </si>
  <si>
    <t>z score of 75th percentile = 0.6744898</t>
  </si>
  <si>
    <t>z score of 95th percentile = 1.644854</t>
  </si>
  <si>
    <r>
      <t>The "Parameter estimation for 20" tab estimates the GM and GSD for a study that was not included in the main analyses, and so did not already have a GM and GSD estimated. The second stduy used for ICC analysis was included in the main analysis, and its GM and GSD are pulled from there (</t>
    </r>
    <r>
      <rPr>
        <i/>
        <sz val="11"/>
        <color theme="1"/>
        <rFont val="Calibri"/>
        <family val="2"/>
        <scheme val="minor"/>
      </rPr>
      <t>Litstream_data_wide_results_final.xlsx</t>
    </r>
    <r>
      <rPr>
        <sz val="11"/>
        <color theme="1"/>
        <rFont val="Calibri"/>
        <family val="2"/>
        <scheme val="minor"/>
      </rPr>
      <t>).</t>
    </r>
  </si>
  <si>
    <t>The tab "Urine ICCs_for analysis" includes only those studies selected for further analysis, and includes "m" (the number of repeats per participant) for use in ICC correction.</t>
  </si>
  <si>
    <r>
      <t xml:space="preserve"> μ = mean of logged data (used to calculate GM</t>
    </r>
    <r>
      <rPr>
        <vertAlign val="subscript"/>
        <sz val="12"/>
        <color theme="1"/>
        <rFont val="Cambria"/>
        <family val="1"/>
      </rPr>
      <t>g</t>
    </r>
    <r>
      <rPr>
        <sz val="12"/>
        <color theme="1"/>
        <rFont val="Cambria"/>
        <family val="1"/>
      </rPr>
      <t>)</t>
    </r>
  </si>
  <si>
    <r>
      <t>GSD</t>
    </r>
    <r>
      <rPr>
        <vertAlign val="subscript"/>
        <sz val="12"/>
        <color theme="1"/>
        <rFont val="Cambria"/>
        <family val="1"/>
      </rPr>
      <t>g</t>
    </r>
    <r>
      <rPr>
        <sz val="12"/>
        <color theme="1"/>
        <rFont val="Cambria"/>
        <family val="1"/>
      </rPr>
      <t xml:space="preserve"> = exp (σ) = “global” geometric standard deviation of the initial data set</t>
    </r>
  </si>
  <si>
    <r>
      <t>GM</t>
    </r>
    <r>
      <rPr>
        <vertAlign val="subscript"/>
        <sz val="12"/>
        <color theme="1"/>
        <rFont val="Cambria"/>
        <family val="1"/>
      </rPr>
      <t>g</t>
    </r>
    <r>
      <rPr>
        <sz val="12"/>
        <color theme="1"/>
        <rFont val="Cambria"/>
        <family val="1"/>
      </rPr>
      <t xml:space="preserve"> = exp (μ) = “global” geometric mean of the initial data set</t>
    </r>
  </si>
  <si>
    <r>
      <t>X</t>
    </r>
    <r>
      <rPr>
        <vertAlign val="subscript"/>
        <sz val="12"/>
        <color theme="1"/>
        <rFont val="Cambria"/>
        <family val="1"/>
      </rPr>
      <t>min</t>
    </r>
    <r>
      <rPr>
        <sz val="12"/>
        <color theme="1"/>
        <rFont val="Cambria"/>
        <family val="1"/>
      </rPr>
      <t xml:space="preserve"> = exp {ln[GSD</t>
    </r>
    <r>
      <rPr>
        <vertAlign val="subscript"/>
        <sz val="12"/>
        <color theme="1"/>
        <rFont val="Cambria"/>
        <family val="1"/>
      </rPr>
      <t>g</t>
    </r>
    <r>
      <rPr>
        <sz val="12"/>
        <color theme="1"/>
        <rFont val="Cambria"/>
        <family val="1"/>
      </rPr>
      <t>]/sqrt(m)}/GM</t>
    </r>
    <r>
      <rPr>
        <vertAlign val="subscript"/>
        <sz val="12"/>
        <color theme="1"/>
        <rFont val="Cambria"/>
        <family val="1"/>
      </rPr>
      <t>g</t>
    </r>
    <r>
      <rPr>
        <sz val="12"/>
        <color theme="1"/>
        <rFont val="Cambria"/>
        <family val="1"/>
      </rPr>
      <t xml:space="preserve"> when ICC = 0</t>
    </r>
  </si>
  <si>
    <r>
      <t>X</t>
    </r>
    <r>
      <rPr>
        <vertAlign val="subscript"/>
        <sz val="12"/>
        <color theme="1"/>
        <rFont val="Cambria"/>
        <family val="1"/>
      </rPr>
      <t>mzx</t>
    </r>
    <r>
      <rPr>
        <sz val="12"/>
        <color theme="1"/>
        <rFont val="Cambria"/>
        <family val="1"/>
      </rPr>
      <t xml:space="preserve"> = GSD</t>
    </r>
    <r>
      <rPr>
        <vertAlign val="subscript"/>
        <sz val="12"/>
        <color theme="1"/>
        <rFont val="Cambria"/>
        <family val="1"/>
      </rPr>
      <t>g</t>
    </r>
    <r>
      <rPr>
        <sz val="12"/>
        <color theme="1"/>
        <rFont val="Cambria"/>
        <family val="1"/>
      </rPr>
      <t>/ GM</t>
    </r>
    <r>
      <rPr>
        <vertAlign val="subscript"/>
        <sz val="12"/>
        <color theme="1"/>
        <rFont val="Cambria"/>
        <family val="1"/>
      </rPr>
      <t>g</t>
    </r>
    <r>
      <rPr>
        <sz val="12"/>
        <color theme="1"/>
        <rFont val="Cambria"/>
        <family val="1"/>
      </rPr>
      <t xml:space="preserve"> when ICC = 1</t>
    </r>
  </si>
  <si>
    <t>The ICC-corrected GSD was calculated using the following equation:</t>
  </si>
  <si>
    <r>
      <t>σ = standard deviation of logged data (used to calculate GSD</t>
    </r>
    <r>
      <rPr>
        <vertAlign val="subscript"/>
        <sz val="12"/>
        <color theme="1"/>
        <rFont val="Cambria"/>
        <family val="1"/>
      </rPr>
      <t>g</t>
    </r>
    <r>
      <rPr>
        <sz val="12"/>
        <color theme="1"/>
        <rFont val="Cambria"/>
        <family val="1"/>
      </rPr>
      <t>, which is used to calculate X</t>
    </r>
    <r>
      <rPr>
        <vertAlign val="subscript"/>
        <sz val="12"/>
        <color theme="1"/>
        <rFont val="Cambria"/>
        <family val="1"/>
      </rPr>
      <t>min</t>
    </r>
    <r>
      <rPr>
        <sz val="12"/>
        <color theme="1"/>
        <rFont val="Cambria"/>
        <family val="1"/>
      </rPr>
      <t xml:space="preserve"> and X</t>
    </r>
    <r>
      <rPr>
        <vertAlign val="subscript"/>
        <sz val="12"/>
        <color theme="1"/>
        <rFont val="Cambria"/>
        <family val="1"/>
      </rPr>
      <t>mzx</t>
    </r>
    <r>
      <rPr>
        <sz val="12"/>
        <color theme="1"/>
        <rFont val="Cambria"/>
        <family val="1"/>
      </rPr>
      <t>)</t>
    </r>
  </si>
  <si>
    <t>Where:</t>
  </si>
  <si>
    <r>
      <rPr>
        <b/>
        <sz val="11"/>
        <rFont val="Calibri"/>
        <family val="2"/>
        <scheme val="minor"/>
      </rPr>
      <t xml:space="preserve">For Litstream data, limit ICC analyses to selected studies that have SG-corrected data, and their own m and ICC. </t>
    </r>
    <r>
      <rPr>
        <sz val="11"/>
        <rFont val="Calibri"/>
        <family val="2"/>
        <scheme val="minor"/>
      </rPr>
      <t xml:space="preserve">
Overall max, min, and median are presented for comparison with the values used in NHANES, but are not used for specific analyses of litstream data.</t>
    </r>
  </si>
  <si>
    <t>Reduction in GSD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</si>
</sst>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u/>
      <sz val="11"/>
      <name val="Calibri"/>
      <family val="2"/>
      <scheme val="minor"/>
    </font>
    <font>
      <i/>
      <sz val="11"/>
      <color theme="1"/>
      <name val="Calibri"/>
      <family val="2"/>
      <scheme val="minor"/>
    </font>
    <font>
      <sz val="12"/>
      <color theme="1"/>
      <name val="Calibri"/>
      <family val="2"/>
      <scheme val="minor"/>
    </font>
    <font>
      <b/>
      <sz val="20"/>
      <color theme="1"/>
      <name val="Times New Roman"/>
      <family val="1"/>
    </font>
    <font>
      <b/>
      <sz val="12"/>
      <color theme="1"/>
      <name val="Times New Roman"/>
      <family val="1"/>
    </font>
    <font>
      <b/>
      <sz val="18"/>
      <color theme="1"/>
      <name val="Times New Roman"/>
      <family val="1"/>
    </font>
    <font>
      <b/>
      <sz val="14"/>
      <color theme="1"/>
      <name val="Times New Roman"/>
      <family val="1"/>
    </font>
    <font>
      <b/>
      <sz val="16"/>
      <color theme="1"/>
      <name val="Times New Roman"/>
      <family val="1"/>
    </font>
    <font>
      <b/>
      <sz val="12"/>
      <color rgb="FFFF0000"/>
      <name val="Times New Roman"/>
      <family val="1"/>
    </font>
    <font>
      <b/>
      <sz val="20"/>
      <color rgb="FFFF0000"/>
      <name val="Times New Roman"/>
      <family val="1"/>
    </font>
    <font>
      <b/>
      <sz val="14"/>
      <color rgb="FFFF0000"/>
      <name val="Times New Roman"/>
      <family val="1"/>
    </font>
    <font>
      <sz val="12"/>
      <color theme="1"/>
      <name val="Cambria"/>
      <family val="1"/>
    </font>
    <font>
      <i/>
      <sz val="12"/>
      <color theme="1"/>
      <name val="Cambria"/>
      <family val="1"/>
    </font>
    <font>
      <vertAlign val="subscript"/>
      <sz val="12"/>
      <color theme="1"/>
      <name val="Cambria"/>
      <family val="1"/>
    </font>
    <font>
      <b/>
      <sz val="12"/>
      <name val="Times New Roman"/>
      <family val="1"/>
    </font>
  </fonts>
  <fills count="11">
    <fill>
      <patternFill patternType="none"/>
    </fill>
    <fill>
      <patternFill patternType="gray125"/>
    </fill>
    <fill>
      <patternFill patternType="solid">
        <fgColor theme="0" tint="-0.14999847407452621"/>
        <bgColor theme="0" tint="-0.14999847407452621"/>
      </patternFill>
    </fill>
    <fill>
      <patternFill patternType="solid">
        <fgColor theme="1"/>
        <bgColor theme="1"/>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rgb="FF99FF99"/>
        <bgColor indexed="64"/>
      </patternFill>
    </fill>
    <fill>
      <patternFill patternType="solid">
        <fgColor rgb="FF00B0F0"/>
        <bgColor indexed="64"/>
      </patternFill>
    </fill>
  </fills>
  <borders count="22">
    <border>
      <left/>
      <right/>
      <top/>
      <bottom/>
      <diagonal/>
    </border>
    <border>
      <left/>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theme="1"/>
      </top>
      <bottom/>
      <diagonal/>
    </border>
    <border>
      <left style="thin">
        <color theme="1"/>
      </left>
      <right/>
      <top style="thin">
        <color theme="1"/>
      </top>
      <bottom style="thin">
        <color theme="1"/>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cellStyleXfs>
  <cellXfs count="129">
    <xf numFmtId="0" fontId="0" fillId="0" borderId="0" xfId="0"/>
    <xf numFmtId="0" fontId="0" fillId="0" borderId="0" xfId="0" applyAlignment="1">
      <alignment wrapText="1"/>
    </xf>
    <xf numFmtId="0" fontId="2" fillId="0" borderId="0" xfId="0" applyFont="1"/>
    <xf numFmtId="0" fontId="0" fillId="5" borderId="0" xfId="0" applyFill="1" applyAlignment="1">
      <alignment wrapText="1"/>
    </xf>
    <xf numFmtId="0" fontId="0" fillId="0" borderId="0" xfId="0" applyAlignment="1">
      <alignment horizontal="left" wrapText="1" indent="1"/>
    </xf>
    <xf numFmtId="0" fontId="0" fillId="0" borderId="3" xfId="0" applyBorder="1"/>
    <xf numFmtId="0" fontId="2" fillId="0" borderId="3" xfId="0" applyFont="1" applyBorder="1" applyAlignment="1">
      <alignment wrapText="1"/>
    </xf>
    <xf numFmtId="0" fontId="0" fillId="0" borderId="3" xfId="0" applyBorder="1" applyAlignment="1">
      <alignment wrapText="1"/>
    </xf>
    <xf numFmtId="0" fontId="0" fillId="0" borderId="2" xfId="0" applyBorder="1"/>
    <xf numFmtId="0" fontId="0" fillId="0" borderId="1" xfId="0" applyFont="1" applyFill="1" applyBorder="1" applyAlignment="1"/>
    <xf numFmtId="0" fontId="0" fillId="0" borderId="0" xfId="0" applyAlignment="1"/>
    <xf numFmtId="0" fontId="3" fillId="0" borderId="0" xfId="0" applyFont="1" applyAlignment="1"/>
    <xf numFmtId="0" fontId="2" fillId="0" borderId="0" xfId="0" applyFont="1" applyAlignment="1"/>
    <xf numFmtId="0" fontId="4" fillId="0" borderId="0" xfId="0" applyFont="1" applyAlignment="1"/>
    <xf numFmtId="0" fontId="0" fillId="2" borderId="1" xfId="0" applyFont="1" applyFill="1" applyBorder="1" applyAlignment="1"/>
    <xf numFmtId="0" fontId="3" fillId="2" borderId="1" xfId="0" applyFont="1" applyFill="1" applyBorder="1" applyAlignment="1"/>
    <xf numFmtId="0" fontId="0" fillId="0" borderId="1" xfId="0" applyFont="1" applyBorder="1" applyAlignment="1"/>
    <xf numFmtId="0" fontId="3" fillId="0" borderId="1" xfId="0" applyFont="1" applyBorder="1" applyAlignment="1"/>
    <xf numFmtId="0" fontId="0" fillId="4" borderId="1" xfId="0" applyFont="1" applyFill="1" applyBorder="1" applyAlignment="1"/>
    <xf numFmtId="0" fontId="3" fillId="4" borderId="1" xfId="0" applyFont="1" applyFill="1" applyBorder="1" applyAlignment="1"/>
    <xf numFmtId="0" fontId="3" fillId="0" borderId="1" xfId="0" applyFont="1" applyFill="1" applyBorder="1" applyAlignment="1"/>
    <xf numFmtId="0" fontId="0" fillId="5" borderId="1" xfId="0" applyFont="1" applyFill="1" applyBorder="1" applyAlignment="1"/>
    <xf numFmtId="0" fontId="3" fillId="5" borderId="1" xfId="0" applyFont="1" applyFill="1" applyBorder="1" applyAlignment="1"/>
    <xf numFmtId="0" fontId="0" fillId="5" borderId="5" xfId="0" applyFont="1" applyFill="1" applyBorder="1" applyAlignment="1"/>
    <xf numFmtId="0" fontId="3" fillId="5" borderId="5" xfId="0" applyFont="1" applyFill="1" applyBorder="1" applyAlignment="1"/>
    <xf numFmtId="0" fontId="0" fillId="2" borderId="0" xfId="0" applyFont="1" applyFill="1" applyBorder="1" applyAlignment="1"/>
    <xf numFmtId="0" fontId="0" fillId="0" borderId="0" xfId="0" applyFont="1" applyBorder="1" applyAlignment="1"/>
    <xf numFmtId="0" fontId="0" fillId="0" borderId="0" xfId="0" applyFont="1" applyFill="1" applyBorder="1" applyAlignment="1"/>
    <xf numFmtId="0" fontId="0" fillId="5" borderId="0" xfId="0" applyFont="1" applyFill="1" applyBorder="1" applyAlignment="1"/>
    <xf numFmtId="0" fontId="0" fillId="0" borderId="0" xfId="0" applyBorder="1" applyAlignment="1"/>
    <xf numFmtId="0" fontId="0" fillId="0" borderId="5" xfId="0" applyFont="1" applyBorder="1" applyAlignment="1"/>
    <xf numFmtId="0" fontId="0" fillId="0" borderId="5" xfId="0" applyFont="1" applyFill="1" applyBorder="1" applyAlignment="1"/>
    <xf numFmtId="0" fontId="0" fillId="6" borderId="5" xfId="0" applyFont="1" applyFill="1" applyBorder="1" applyAlignment="1"/>
    <xf numFmtId="0" fontId="3" fillId="6" borderId="0" xfId="0" applyFont="1" applyFill="1" applyBorder="1" applyAlignment="1"/>
    <xf numFmtId="0" fontId="3" fillId="5" borderId="0" xfId="0" applyFont="1" applyFill="1" applyBorder="1" applyAlignment="1"/>
    <xf numFmtId="0" fontId="2" fillId="0" borderId="2" xfId="0" applyFont="1" applyBorder="1" applyAlignment="1"/>
    <xf numFmtId="0" fontId="0" fillId="6" borderId="0" xfId="0" applyFont="1" applyFill="1" applyBorder="1" applyAlignment="1"/>
    <xf numFmtId="0" fontId="0" fillId="6" borderId="6" xfId="0" applyFont="1" applyFill="1" applyBorder="1" applyAlignment="1"/>
    <xf numFmtId="0" fontId="3" fillId="6" borderId="0" xfId="0" applyFont="1" applyFill="1" applyAlignment="1"/>
    <xf numFmtId="0" fontId="3" fillId="5" borderId="3" xfId="0" applyFont="1" applyFill="1" applyBorder="1" applyAlignment="1"/>
    <xf numFmtId="0" fontId="3" fillId="5" borderId="0" xfId="0" applyFont="1" applyFill="1" applyAlignment="1"/>
    <xf numFmtId="0" fontId="3" fillId="0" borderId="0" xfId="0" applyFont="1" applyAlignment="1">
      <alignment wrapText="1"/>
    </xf>
    <xf numFmtId="0" fontId="0" fillId="0" borderId="0" xfId="0" applyAlignment="1">
      <alignment horizontal="left" wrapText="1"/>
    </xf>
    <xf numFmtId="0" fontId="5" fillId="0" borderId="0" xfId="0" applyFont="1" applyAlignment="1">
      <alignment wrapText="1"/>
    </xf>
    <xf numFmtId="0" fontId="4" fillId="0" borderId="2" xfId="0" applyFont="1" applyBorder="1" applyAlignment="1"/>
    <xf numFmtId="0" fontId="2" fillId="0" borderId="2" xfId="0" applyFont="1" applyBorder="1"/>
    <xf numFmtId="0" fontId="2" fillId="0" borderId="2" xfId="0" applyFont="1" applyFill="1" applyBorder="1"/>
    <xf numFmtId="0" fontId="4" fillId="0" borderId="0" xfId="0" applyFont="1" applyBorder="1" applyAlignment="1"/>
    <xf numFmtId="0" fontId="4" fillId="0" borderId="3" xfId="0" applyFont="1" applyBorder="1" applyAlignment="1"/>
    <xf numFmtId="0" fontId="4" fillId="8" borderId="2" xfId="0" applyFont="1" applyFill="1" applyBorder="1" applyAlignment="1"/>
    <xf numFmtId="0" fontId="2" fillId="0" borderId="0" xfId="0" applyFont="1" applyFill="1" applyBorder="1" applyAlignment="1"/>
    <xf numFmtId="0" fontId="2" fillId="0" borderId="0" xfId="0" applyFont="1" applyFill="1" applyAlignment="1"/>
    <xf numFmtId="0" fontId="3" fillId="0" borderId="0" xfId="0" applyFont="1" applyFill="1" applyAlignment="1"/>
    <xf numFmtId="0" fontId="2" fillId="0" borderId="2" xfId="0" applyFont="1" applyFill="1" applyBorder="1" applyAlignment="1"/>
    <xf numFmtId="0" fontId="6" fillId="0" borderId="0" xfId="0" applyFont="1"/>
    <xf numFmtId="0" fontId="0" fillId="0" borderId="0" xfId="0" applyFont="1"/>
    <xf numFmtId="0" fontId="2" fillId="0" borderId="0" xfId="0" applyFont="1" applyAlignment="1">
      <alignment wrapText="1"/>
    </xf>
    <xf numFmtId="0" fontId="1" fillId="3" borderId="1" xfId="0" applyFont="1" applyFill="1" applyBorder="1" applyAlignment="1">
      <alignment wrapText="1"/>
    </xf>
    <xf numFmtId="0" fontId="1" fillId="3" borderId="0" xfId="0" applyFont="1" applyFill="1" applyBorder="1" applyAlignment="1">
      <alignment wrapText="1"/>
    </xf>
    <xf numFmtId="0" fontId="1" fillId="3" borderId="2" xfId="0" applyFont="1" applyFill="1" applyBorder="1" applyAlignment="1">
      <alignment wrapText="1"/>
    </xf>
    <xf numFmtId="0" fontId="0" fillId="6" borderId="2" xfId="0" applyFill="1" applyBorder="1" applyAlignment="1"/>
    <xf numFmtId="0" fontId="0" fillId="6" borderId="2" xfId="0" applyFont="1" applyFill="1" applyBorder="1" applyAlignment="1"/>
    <xf numFmtId="0" fontId="2" fillId="6" borderId="2" xfId="0" applyFont="1" applyFill="1" applyBorder="1" applyAlignment="1"/>
    <xf numFmtId="0" fontId="8" fillId="0" borderId="8" xfId="1" applyFont="1" applyBorder="1" applyAlignment="1">
      <alignment horizontal="left"/>
    </xf>
    <xf numFmtId="0" fontId="9" fillId="0" borderId="9" xfId="1" applyFont="1" applyBorder="1"/>
    <xf numFmtId="0" fontId="9" fillId="0" borderId="9" xfId="1" applyFont="1" applyBorder="1" applyAlignment="1">
      <alignment horizontal="center"/>
    </xf>
    <xf numFmtId="0" fontId="10" fillId="0" borderId="9" xfId="1" applyFont="1" applyBorder="1"/>
    <xf numFmtId="0" fontId="9" fillId="0" borderId="10" xfId="1" applyFont="1" applyBorder="1" applyAlignment="1">
      <alignment horizontal="center"/>
    </xf>
    <xf numFmtId="0" fontId="7" fillId="0" borderId="0" xfId="1" applyBorder="1"/>
    <xf numFmtId="0" fontId="9" fillId="0" borderId="0" xfId="1" applyFont="1" applyBorder="1"/>
    <xf numFmtId="0" fontId="9" fillId="0" borderId="0" xfId="1" applyFont="1" applyBorder="1" applyAlignment="1">
      <alignment horizontal="center"/>
    </xf>
    <xf numFmtId="0" fontId="11" fillId="0" borderId="0" xfId="1" applyFont="1" applyBorder="1" applyAlignment="1"/>
    <xf numFmtId="0" fontId="11" fillId="7" borderId="11" xfId="1" applyFont="1" applyFill="1" applyBorder="1"/>
    <xf numFmtId="0" fontId="9" fillId="0" borderId="12" xfId="1" applyFont="1" applyFill="1" applyBorder="1" applyAlignment="1">
      <alignment horizontal="left"/>
    </xf>
    <xf numFmtId="2" fontId="9" fillId="7" borderId="13" xfId="1" applyNumberFormat="1" applyFont="1" applyFill="1" applyBorder="1" applyAlignment="1">
      <alignment horizontal="center"/>
    </xf>
    <xf numFmtId="0" fontId="11" fillId="9" borderId="11" xfId="1" applyFont="1" applyFill="1" applyBorder="1"/>
    <xf numFmtId="0" fontId="9" fillId="0" borderId="12" xfId="1" applyFont="1" applyBorder="1"/>
    <xf numFmtId="0" fontId="9" fillId="0" borderId="16" xfId="1" applyFont="1" applyBorder="1" applyAlignment="1">
      <alignment horizontal="center"/>
    </xf>
    <xf numFmtId="0" fontId="9" fillId="0" borderId="13" xfId="1" applyFont="1" applyBorder="1" applyAlignment="1">
      <alignment horizontal="center"/>
    </xf>
    <xf numFmtId="0" fontId="12" fillId="0" borderId="0" xfId="1" applyFont="1" applyBorder="1" applyAlignment="1">
      <alignment horizontal="left"/>
    </xf>
    <xf numFmtId="0" fontId="9" fillId="0" borderId="17" xfId="1" applyFont="1" applyBorder="1" applyAlignment="1">
      <alignment horizontal="center"/>
    </xf>
    <xf numFmtId="2" fontId="9" fillId="0" borderId="2" xfId="1" applyNumberFormat="1" applyFont="1" applyFill="1" applyBorder="1" applyAlignment="1">
      <alignment horizontal="center"/>
    </xf>
    <xf numFmtId="0" fontId="9" fillId="0" borderId="14" xfId="1" applyFont="1" applyBorder="1" applyAlignment="1">
      <alignment horizontal="center"/>
    </xf>
    <xf numFmtId="2" fontId="9" fillId="0" borderId="18" xfId="1" applyNumberFormat="1" applyFont="1" applyFill="1" applyBorder="1" applyAlignment="1">
      <alignment horizontal="center"/>
    </xf>
    <xf numFmtId="2" fontId="9" fillId="9" borderId="18" xfId="1" applyNumberFormat="1" applyFont="1" applyFill="1" applyBorder="1" applyAlignment="1">
      <alignment horizontal="center"/>
    </xf>
    <xf numFmtId="2" fontId="9" fillId="0" borderId="0" xfId="1" applyNumberFormat="1" applyFont="1" applyFill="1" applyBorder="1" applyAlignment="1">
      <alignment horizontal="center"/>
    </xf>
    <xf numFmtId="2" fontId="9" fillId="9" borderId="0" xfId="1" applyNumberFormat="1" applyFont="1" applyFill="1" applyBorder="1" applyAlignment="1">
      <alignment horizontal="center"/>
    </xf>
    <xf numFmtId="0" fontId="9" fillId="0" borderId="12" xfId="1" applyFont="1" applyBorder="1" applyAlignment="1">
      <alignment horizontal="center"/>
    </xf>
    <xf numFmtId="2" fontId="9" fillId="0" borderId="16" xfId="1" applyNumberFormat="1" applyFont="1" applyFill="1" applyBorder="1" applyAlignment="1">
      <alignment horizontal="center"/>
    </xf>
    <xf numFmtId="0" fontId="9" fillId="0" borderId="16" xfId="1" applyFont="1" applyFill="1" applyBorder="1" applyAlignment="1">
      <alignment horizontal="center"/>
    </xf>
    <xf numFmtId="0" fontId="9" fillId="7" borderId="16" xfId="1" applyFont="1" applyFill="1" applyBorder="1" applyAlignment="1">
      <alignment horizontal="center"/>
    </xf>
    <xf numFmtId="0" fontId="9" fillId="0" borderId="0" xfId="1" applyFont="1" applyFill="1" applyBorder="1" applyAlignment="1">
      <alignment horizontal="center"/>
    </xf>
    <xf numFmtId="0" fontId="9" fillId="7" borderId="18" xfId="1" applyFont="1" applyFill="1" applyBorder="1" applyAlignment="1">
      <alignment horizontal="center"/>
    </xf>
    <xf numFmtId="0" fontId="9" fillId="7" borderId="15" xfId="1" applyFont="1" applyFill="1" applyBorder="1" applyAlignment="1">
      <alignment horizontal="center"/>
    </xf>
    <xf numFmtId="164" fontId="9" fillId="9" borderId="16" xfId="1" applyNumberFormat="1" applyFont="1" applyFill="1" applyBorder="1" applyAlignment="1">
      <alignment horizontal="center"/>
    </xf>
    <xf numFmtId="164" fontId="9" fillId="9" borderId="13" xfId="1" applyNumberFormat="1" applyFont="1" applyFill="1" applyBorder="1" applyAlignment="1">
      <alignment horizontal="center"/>
    </xf>
    <xf numFmtId="164" fontId="9" fillId="9" borderId="18" xfId="1" applyNumberFormat="1" applyFont="1" applyFill="1" applyBorder="1" applyAlignment="1">
      <alignment horizontal="center"/>
    </xf>
    <xf numFmtId="164" fontId="9" fillId="9" borderId="15" xfId="1" applyNumberFormat="1" applyFont="1" applyFill="1" applyBorder="1" applyAlignment="1">
      <alignment horizontal="center"/>
    </xf>
    <xf numFmtId="0" fontId="9" fillId="0" borderId="0" xfId="1" applyFont="1" applyFill="1" applyBorder="1" applyAlignment="1">
      <alignment horizontal="left"/>
    </xf>
    <xf numFmtId="0" fontId="0" fillId="5" borderId="3" xfId="0" applyFont="1" applyFill="1" applyBorder="1" applyAlignment="1"/>
    <xf numFmtId="0" fontId="15" fillId="7" borderId="11" xfId="1" applyFont="1" applyFill="1" applyBorder="1" applyAlignment="1"/>
    <xf numFmtId="2" fontId="13" fillId="0" borderId="0" xfId="1" applyNumberFormat="1" applyFont="1" applyFill="1" applyBorder="1" applyAlignment="1">
      <alignment horizontal="center"/>
    </xf>
    <xf numFmtId="0" fontId="9" fillId="10" borderId="12" xfId="1" applyFont="1" applyFill="1" applyBorder="1" applyAlignment="1">
      <alignment horizontal="left"/>
    </xf>
    <xf numFmtId="0" fontId="9" fillId="10" borderId="14" xfId="1" applyFont="1" applyFill="1" applyBorder="1" applyAlignment="1">
      <alignment horizontal="left"/>
    </xf>
    <xf numFmtId="0" fontId="2" fillId="0" borderId="2" xfId="0" applyFont="1" applyBorder="1" applyAlignment="1">
      <alignment wrapText="1"/>
    </xf>
    <xf numFmtId="0" fontId="2" fillId="6" borderId="2" xfId="0" applyFont="1" applyFill="1" applyBorder="1" applyAlignment="1">
      <alignment wrapText="1"/>
    </xf>
    <xf numFmtId="10" fontId="0" fillId="0" borderId="2" xfId="0" applyNumberFormat="1" applyBorder="1"/>
    <xf numFmtId="0" fontId="0" fillId="6" borderId="2" xfId="0" applyFill="1" applyBorder="1"/>
    <xf numFmtId="10" fontId="0" fillId="0" borderId="0" xfId="0" applyNumberFormat="1"/>
    <xf numFmtId="0" fontId="0" fillId="0" borderId="0" xfId="0" applyAlignment="1">
      <alignment horizontal="left" indent="1"/>
    </xf>
    <xf numFmtId="9" fontId="0" fillId="0" borderId="0" xfId="0" applyNumberFormat="1"/>
    <xf numFmtId="0" fontId="16" fillId="0" borderId="0" xfId="0" applyFont="1" applyAlignment="1">
      <alignment vertical="center"/>
    </xf>
    <xf numFmtId="0" fontId="17" fillId="0" borderId="0" xfId="0" applyFont="1" applyAlignment="1">
      <alignment horizontal="center" vertical="center"/>
    </xf>
    <xf numFmtId="0" fontId="16" fillId="0" borderId="0" xfId="0" applyFont="1" applyAlignment="1">
      <alignment horizontal="left" vertical="center" indent="2"/>
    </xf>
    <xf numFmtId="0" fontId="0" fillId="4" borderId="0" xfId="0" applyFont="1" applyFill="1" applyAlignment="1"/>
    <xf numFmtId="0" fontId="0" fillId="6" borderId="0" xfId="0" applyFont="1" applyFill="1" applyAlignment="1"/>
    <xf numFmtId="0" fontId="0" fillId="0" borderId="0" xfId="0" applyFont="1" applyAlignment="1"/>
    <xf numFmtId="0" fontId="0" fillId="0" borderId="0" xfId="0" applyFont="1" applyFill="1" applyAlignment="1"/>
    <xf numFmtId="0" fontId="0" fillId="0" borderId="1" xfId="0" applyNumberFormat="1" applyFont="1" applyBorder="1" applyAlignment="1"/>
    <xf numFmtId="0" fontId="2" fillId="0" borderId="4" xfId="0" applyFont="1" applyBorder="1" applyAlignment="1">
      <alignment horizontal="center"/>
    </xf>
    <xf numFmtId="0" fontId="3" fillId="0" borderId="0" xfId="0" applyFont="1" applyFill="1" applyAlignment="1">
      <alignment wrapText="1"/>
    </xf>
    <xf numFmtId="0" fontId="3" fillId="0" borderId="0" xfId="0" applyFont="1" applyFill="1" applyAlignment="1">
      <alignment vertical="top" wrapText="1"/>
    </xf>
    <xf numFmtId="0" fontId="2" fillId="0" borderId="7" xfId="0" applyFont="1" applyBorder="1" applyAlignment="1"/>
    <xf numFmtId="0" fontId="2" fillId="0" borderId="4" xfId="0" applyFont="1" applyBorder="1" applyAlignment="1"/>
    <xf numFmtId="0" fontId="2" fillId="0" borderId="19" xfId="0" applyFont="1" applyBorder="1" applyAlignment="1"/>
    <xf numFmtId="0" fontId="2" fillId="0" borderId="20" xfId="0" applyFont="1" applyBorder="1" applyAlignment="1"/>
    <xf numFmtId="0" fontId="2" fillId="0" borderId="21" xfId="0" applyFont="1" applyBorder="1" applyAlignment="1"/>
    <xf numFmtId="2" fontId="19" fillId="7" borderId="15" xfId="1" applyNumberFormat="1" applyFont="1" applyFill="1" applyBorder="1" applyAlignment="1">
      <alignment horizontal="center"/>
    </xf>
    <xf numFmtId="2" fontId="19" fillId="7" borderId="13" xfId="1" applyNumberFormat="1" applyFont="1" applyFill="1" applyBorder="1" applyAlignment="1">
      <alignment horizontal="center"/>
    </xf>
  </cellXfs>
  <cellStyles count="2">
    <cellStyle name="Normal" xfId="0" builtinId="0"/>
    <cellStyle name="Normal 2" xfId="1" xr:uid="{BF6EB36A-0EA6-4830-88D2-9ED0CAA7826B}"/>
  </cellStyles>
  <dxfs count="22">
    <dxf>
      <font>
        <i val="0"/>
      </font>
      <alignment horizontal="general" vertical="bottom" textRotation="0" wrapText="1" indent="0" justifyLastLine="0" shrinkToFit="0" readingOrder="0"/>
      <border diagonalUp="0" diagonalDown="0" outline="0">
        <left style="thin">
          <color indexed="64"/>
        </left>
        <right/>
        <top/>
        <bottom/>
      </border>
    </dxf>
    <dxf>
      <font>
        <i val="0"/>
      </font>
      <alignment horizontal="general" vertical="bottom" textRotation="0" wrapText="0" indent="0" justifyLastLine="0" shrinkToFit="0" readingOrder="0"/>
    </dxf>
    <dxf>
      <font>
        <i val="0"/>
      </font>
      <alignment horizontal="general" vertical="bottom" textRotation="0" wrapText="0" indent="0" justifyLastLine="0" shrinkToFit="0" readingOrder="0"/>
    </dxf>
    <dxf>
      <font>
        <i val="0"/>
      </font>
      <alignment horizontal="general" vertical="bottom" textRotation="0" wrapText="0" indent="0" justifyLastLine="0" shrinkToFit="0" readingOrder="0"/>
    </dxf>
    <dxf>
      <font>
        <i val="0"/>
      </font>
      <alignment horizontal="general" vertical="bottom" textRotation="0" wrapText="0" indent="0" justifyLastLine="0" shrinkToFit="0" readingOrder="0"/>
      <border diagonalUp="0" diagonalDown="0" outline="0">
        <left style="thin">
          <color indexed="64"/>
        </left>
      </border>
    </dxf>
    <dxf>
      <font>
        <i val="0"/>
      </font>
      <alignment horizontal="general" vertical="bottom" textRotation="0" wrapText="0" indent="0" justifyLastLine="0" shrinkToFit="0" readingOrder="0"/>
    </dxf>
    <dxf>
      <font>
        <i val="0"/>
      </font>
      <alignment horizontal="general" vertical="bottom" textRotation="0" wrapText="0" indent="0" justifyLastLine="0" shrinkToFit="0" readingOrder="0"/>
    </dxf>
    <dxf>
      <font>
        <i val="0"/>
      </font>
      <alignment horizontal="general" vertical="bottom" textRotation="0" wrapText="0" indent="0" justifyLastLine="0" shrinkToFit="0" readingOrder="0"/>
    </dxf>
    <dxf>
      <font>
        <i val="0"/>
      </font>
      <alignment horizontal="general" vertical="bottom" textRotation="0" wrapText="0" indent="0" justifyLastLine="0" shrinkToFit="0" readingOrder="0"/>
      <border diagonalUp="0" diagonalDown="0" outline="0">
        <left style="thin">
          <color indexed="64"/>
        </left>
      </border>
    </dxf>
    <dxf>
      <font>
        <i val="0"/>
      </font>
      <alignment horizontal="general" vertical="bottom" textRotation="0" wrapText="0" indent="0" justifyLastLine="0" shrinkToFit="0" readingOrder="0"/>
    </dxf>
    <dxf>
      <font>
        <i val="0"/>
      </font>
      <alignment horizontal="general" vertical="bottom" textRotation="0" wrapText="0" indent="0" justifyLastLine="0" shrinkToFit="0" readingOrder="0"/>
    </dxf>
    <dxf>
      <font>
        <i val="0"/>
      </font>
      <alignment horizontal="general" vertical="bottom" textRotation="0" wrapText="0" indent="0" justifyLastLine="0" shrinkToFit="0" readingOrder="0"/>
    </dxf>
    <dxf>
      <font>
        <i val="0"/>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i val="0"/>
        <strike val="0"/>
        <outline val="0"/>
        <shadow val="0"/>
        <u val="none"/>
        <vertAlign val="baseline"/>
        <sz val="11"/>
        <color auto="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indexed="64"/>
          <bgColor theme="4" tint="0.79998168889431442"/>
        </patternFill>
      </fill>
      <alignment horizontal="general" vertical="bottom" textRotation="0" wrapText="0" indent="0" justifyLastLine="0" shrinkToFit="0" readingOrder="0"/>
      <border diagonalUp="0" diagonalDown="0" outline="0">
        <left/>
        <right/>
        <top style="thin">
          <color theme="1"/>
        </top>
        <bottom style="thin">
          <color theme="1"/>
        </bottom>
      </border>
    </dxf>
    <dxf>
      <border outline="0">
        <left style="thin">
          <color theme="1"/>
        </left>
      </border>
    </dxf>
    <dxf>
      <font>
        <i val="0"/>
      </font>
      <alignment horizontal="general" vertical="bottom" textRotation="0" wrapText="0"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142875</xdr:colOff>
      <xdr:row>23</xdr:row>
      <xdr:rowOff>161925</xdr:rowOff>
    </xdr:from>
    <xdr:to>
      <xdr:col>0</xdr:col>
      <xdr:colOff>4362450</xdr:colOff>
      <xdr:row>25</xdr:row>
      <xdr:rowOff>38100</xdr:rowOff>
    </xdr:to>
    <xdr:pic>
      <xdr:nvPicPr>
        <xdr:cNvPr id="2" name="Picture 1" descr="GSD = GM (global) * (ICC Intraclass correction *  (Xmax - X min) + X min)">
          <a:extLst>
            <a:ext uri="{FF2B5EF4-FFF2-40B4-BE49-F238E27FC236}">
              <a16:creationId xmlns:a16="http://schemas.microsoft.com/office/drawing/2014/main" id="{708C4B28-86E3-4B82-A839-5459C5373B0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2875" y="6753225"/>
          <a:ext cx="42195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9A2297-CD4F-47FF-8AF1-6B42A5BD1C52}" name="Table1" displayName="Table1" ref="A13:S53" totalsRowShown="0" headerRowDxfId="21" dataDxfId="20" tableBorderDxfId="19">
  <autoFilter ref="A13:S53" xr:uid="{4C99CC5D-FC4C-4F1D-9046-191E181FDB39}"/>
  <tableColumns count="19">
    <tableColumn id="1" xr3:uid="{94E64343-53AE-4EAE-8B41-1F7863C80A89}" name="Refid" dataDxfId="18"/>
    <tableColumn id="2" xr3:uid="{591F04BC-255A-4A9B-B694-EB1B7476403C}" name="Author" dataDxfId="17"/>
    <tableColumn id="3" xr3:uid="{9FB88603-56EF-4CE0-A200-0E17E60C8D22}" name="Year" dataDxfId="16"/>
    <tableColumn id="4" xr3:uid="{68765836-B6AA-4863-9418-89A4D9EE9F07}" name="Title" dataDxfId="15"/>
    <tableColumn id="5" xr3:uid="{A787BA71-B1C5-4A57-9058-7E2FAD9A2D2C}" name="Comment/rationale" dataDxfId="14"/>
    <tableColumn id="16" xr3:uid="{58F4FA3C-9139-413B-83DD-9BC7FD899953}" name="Population" dataDxfId="13"/>
    <tableColumn id="6" xr3:uid="{C8A019E3-A377-46C3-BC66-0469034B5A7B}" name="BCEP_SG" dataDxfId="12"/>
    <tableColumn id="7" xr3:uid="{258B2566-0E02-4385-A96B-34FC161DC72A}" name="BCIPP_SG" dataDxfId="11"/>
    <tableColumn id="17" xr3:uid="{237DB7AA-FDB1-4D77-9462-088685B50DDB}" name="BCIPHIPP_SG" dataDxfId="10"/>
    <tableColumn id="8" xr3:uid="{0EEEEB58-E0EB-4784-9AC2-90F19881C59E}" name="BDCIPP_SG" dataDxfId="9"/>
    <tableColumn id="9" xr3:uid="{95AF62EB-0AB7-4A74-AF30-E49087F34FBF}" name="BCEP_CR" dataDxfId="8"/>
    <tableColumn id="10" xr3:uid="{DFBFA4D4-A89C-4EDC-934D-64FEC07722FF}" name="BCIPP_CR" dataDxfId="7"/>
    <tableColumn id="18" xr3:uid="{2F873B7E-3B1C-4FEE-845D-25A5A520F809}" name="BCIPHIPP_CR" dataDxfId="6"/>
    <tableColumn id="11" xr3:uid="{1D307DD4-A0A0-4A0C-9B79-854F170C317C}" name="BDCIPP_CR" dataDxfId="5"/>
    <tableColumn id="12" xr3:uid="{67853343-EC2E-4C55-9689-25E9DA98E5C9}" name="BCEP_UN" dataDxfId="4"/>
    <tableColumn id="13" xr3:uid="{727BA26D-B8DF-47F2-BD08-D17436D845D7}" name="BCIPP_UN" dataDxfId="3"/>
    <tableColumn id="20" xr3:uid="{D712E226-A2DE-47AB-9E8D-09E089B61DE0}" name="BCIPHIPP_UN" dataDxfId="2"/>
    <tableColumn id="14" xr3:uid="{7D75B37B-D595-4640-BC50-AC5C0538A2F9}" name="BDCIPP_UN" dataDxfId="1"/>
    <tableColumn id="15" xr3:uid="{F95AD376-A375-49BA-AB83-3C50C42CCB04}" name="Additional notes"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D77BC-9629-448A-B929-CA5B2A63FE9C}">
  <sheetPr codeName="Sheet1"/>
  <dimension ref="A1:B33"/>
  <sheetViews>
    <sheetView tabSelected="1" workbookViewId="0"/>
  </sheetViews>
  <sheetFormatPr defaultRowHeight="15" x14ac:dyDescent="0.25"/>
  <cols>
    <col min="1" max="1" width="122.42578125" style="1" customWidth="1"/>
  </cols>
  <sheetData>
    <row r="1" spans="1:1" ht="30" x14ac:dyDescent="0.25">
      <c r="A1" s="41" t="s">
        <v>210</v>
      </c>
    </row>
    <row r="2" spans="1:1" ht="45" x14ac:dyDescent="0.25">
      <c r="A2" s="41" t="s">
        <v>165</v>
      </c>
    </row>
    <row r="3" spans="1:1" x14ac:dyDescent="0.25">
      <c r="A3" s="41"/>
    </row>
    <row r="4" spans="1:1" x14ac:dyDescent="0.25">
      <c r="A4" s="43" t="s">
        <v>151</v>
      </c>
    </row>
    <row r="5" spans="1:1" ht="30" x14ac:dyDescent="0.25">
      <c r="A5" s="41" t="s">
        <v>166</v>
      </c>
    </row>
    <row r="6" spans="1:1" x14ac:dyDescent="0.25">
      <c r="A6" s="4" t="s">
        <v>70</v>
      </c>
    </row>
    <row r="7" spans="1:1" x14ac:dyDescent="0.25">
      <c r="A7" s="42" t="s">
        <v>161</v>
      </c>
    </row>
    <row r="8" spans="1:1" ht="30" x14ac:dyDescent="0.25">
      <c r="A8" s="42" t="s">
        <v>162</v>
      </c>
    </row>
    <row r="9" spans="1:1" x14ac:dyDescent="0.25">
      <c r="A9" s="1" t="s">
        <v>206</v>
      </c>
    </row>
    <row r="10" spans="1:1" x14ac:dyDescent="0.25">
      <c r="A10" s="41"/>
    </row>
    <row r="11" spans="1:1" ht="30" x14ac:dyDescent="0.25">
      <c r="A11" s="41" t="s">
        <v>208</v>
      </c>
    </row>
    <row r="12" spans="1:1" ht="30" x14ac:dyDescent="0.25">
      <c r="A12" s="41" t="s">
        <v>207</v>
      </c>
    </row>
    <row r="14" spans="1:1" x14ac:dyDescent="0.25">
      <c r="A14" s="3" t="s">
        <v>59</v>
      </c>
    </row>
    <row r="15" spans="1:1" x14ac:dyDescent="0.25">
      <c r="A15" s="37" t="s">
        <v>167</v>
      </c>
    </row>
    <row r="17" spans="1:2" ht="30" x14ac:dyDescent="0.25">
      <c r="A17" s="1" t="s">
        <v>232</v>
      </c>
    </row>
    <row r="19" spans="1:2" ht="45" x14ac:dyDescent="0.25">
      <c r="A19" s="1" t="s">
        <v>231</v>
      </c>
    </row>
    <row r="21" spans="1:2" ht="30" x14ac:dyDescent="0.25">
      <c r="A21" s="1" t="s">
        <v>209</v>
      </c>
    </row>
    <row r="23" spans="1:2" ht="15.75" x14ac:dyDescent="0.25">
      <c r="A23" s="111" t="s">
        <v>238</v>
      </c>
    </row>
    <row r="24" spans="1:2" ht="15.75" x14ac:dyDescent="0.25">
      <c r="A24" s="111"/>
    </row>
    <row r="25" spans="1:2" ht="15.75" x14ac:dyDescent="0.25">
      <c r="A25"/>
      <c r="B25" s="112"/>
    </row>
    <row r="26" spans="1:2" ht="15.75" x14ac:dyDescent="0.25">
      <c r="A26" s="111"/>
    </row>
    <row r="27" spans="1:2" ht="15.75" x14ac:dyDescent="0.25">
      <c r="A27" s="111" t="s">
        <v>240</v>
      </c>
    </row>
    <row r="28" spans="1:2" ht="17.25" x14ac:dyDescent="0.25">
      <c r="A28" s="113" t="s">
        <v>239</v>
      </c>
    </row>
    <row r="29" spans="1:2" ht="17.25" x14ac:dyDescent="0.25">
      <c r="A29" s="113" t="s">
        <v>233</v>
      </c>
    </row>
    <row r="30" spans="1:2" ht="17.25" x14ac:dyDescent="0.25">
      <c r="A30" s="113" t="s">
        <v>234</v>
      </c>
    </row>
    <row r="31" spans="1:2" ht="17.25" x14ac:dyDescent="0.25">
      <c r="A31" s="113" t="s">
        <v>235</v>
      </c>
    </row>
    <row r="32" spans="1:2" ht="17.25" x14ac:dyDescent="0.25">
      <c r="A32" s="113" t="s">
        <v>236</v>
      </c>
    </row>
    <row r="33" spans="1:1" ht="17.25" x14ac:dyDescent="0.25">
      <c r="A33" s="113" t="s">
        <v>237</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C7EBD-8265-47B5-ABAC-0F8AE3DCE096}">
  <sheetPr codeName="Sheet2"/>
  <dimension ref="A1:S53"/>
  <sheetViews>
    <sheetView topLeftCell="C1" zoomScale="85" zoomScaleNormal="85" workbookViewId="0">
      <selection activeCell="S10" sqref="S10"/>
    </sheetView>
  </sheetViews>
  <sheetFormatPr defaultRowHeight="15" x14ac:dyDescent="0.25"/>
  <cols>
    <col min="1" max="1" width="8.5703125" style="10" customWidth="1"/>
    <col min="2" max="2" width="20.5703125" style="10" customWidth="1"/>
    <col min="3" max="3" width="7.140625" style="10" bestFit="1" customWidth="1"/>
    <col min="4" max="4" width="20.5703125" style="10" customWidth="1"/>
    <col min="5" max="5" width="20.5703125" style="11" customWidth="1"/>
    <col min="6" max="6" width="24" style="10" customWidth="1"/>
    <col min="7" max="7" width="13.140625" style="5" customWidth="1"/>
    <col min="8" max="10" width="13.140625" customWidth="1"/>
    <col min="11" max="11" width="13.140625" style="5" customWidth="1"/>
    <col min="12" max="14" width="13.140625" customWidth="1"/>
    <col min="15" max="15" width="13.140625" style="5" customWidth="1"/>
    <col min="16" max="18" width="13.140625" customWidth="1"/>
    <col min="19" max="19" width="35.42578125" style="7" customWidth="1"/>
  </cols>
  <sheetData>
    <row r="1" spans="1:19" x14ac:dyDescent="0.25">
      <c r="D1" s="35"/>
      <c r="E1" s="44" t="s">
        <v>170</v>
      </c>
      <c r="F1" s="35" t="s">
        <v>171</v>
      </c>
      <c r="G1" s="45" t="s">
        <v>173</v>
      </c>
      <c r="H1" s="46" t="s">
        <v>172</v>
      </c>
    </row>
    <row r="2" spans="1:19" x14ac:dyDescent="0.25">
      <c r="D2" s="35" t="s">
        <v>168</v>
      </c>
      <c r="E2" s="44">
        <f>MAX(G8,K8,O8)</f>
        <v>0.68</v>
      </c>
      <c r="F2" s="44">
        <f>MAX(H8,L8,P8)</f>
        <v>0.74</v>
      </c>
      <c r="G2" s="49">
        <f>MAX(I8,M8,Q8)</f>
        <v>0.746</v>
      </c>
      <c r="H2" s="44">
        <f>MAX(J8,N8,R8)</f>
        <v>0.88</v>
      </c>
    </row>
    <row r="3" spans="1:19" x14ac:dyDescent="0.25">
      <c r="D3" s="35" t="s">
        <v>169</v>
      </c>
      <c r="E3" s="44">
        <f>MIN(G9,K9,O9)</f>
        <v>0.03</v>
      </c>
      <c r="F3" s="44">
        <f>MIN(H9,L9,P9)</f>
        <v>0.18</v>
      </c>
      <c r="G3" s="49">
        <f>MIN(I9,M9,Q9)</f>
        <v>7.0000000000000007E-2</v>
      </c>
      <c r="H3" s="44">
        <f>MIN(J9,N9,R9)</f>
        <v>0.15</v>
      </c>
    </row>
    <row r="4" spans="1:19" x14ac:dyDescent="0.25">
      <c r="B4" s="12" t="s">
        <v>177</v>
      </c>
      <c r="C4" s="122"/>
      <c r="D4" s="53" t="s">
        <v>175</v>
      </c>
      <c r="E4" s="44">
        <f>MEDIAN(G14:G53,K14:K53,O14:O53)</f>
        <v>0.45</v>
      </c>
      <c r="F4" s="44">
        <f>MEDIAN(H14:H53,L14:L53,P14:P53)</f>
        <v>0.54</v>
      </c>
      <c r="G4" s="49">
        <f>MEDIAN(I14:I53,M14:M53,Q14:Q53)</f>
        <v>0.34499999999999997</v>
      </c>
      <c r="H4" s="44">
        <f>MEDIAN(J14:J53,N14:N53,R14:R53)</f>
        <v>0.48</v>
      </c>
    </row>
    <row r="5" spans="1:19" x14ac:dyDescent="0.25">
      <c r="B5" s="29"/>
      <c r="C5" s="29"/>
      <c r="D5" s="50"/>
      <c r="E5" s="47"/>
      <c r="F5" s="47"/>
      <c r="G5" s="48"/>
      <c r="H5" s="47"/>
    </row>
    <row r="6" spans="1:19" x14ac:dyDescent="0.25">
      <c r="B6" s="29"/>
      <c r="C6" s="29"/>
      <c r="D6" s="50"/>
      <c r="G6" s="123" t="s">
        <v>34</v>
      </c>
      <c r="H6" s="123" t="s">
        <v>34</v>
      </c>
      <c r="I6" s="123" t="s">
        <v>34</v>
      </c>
      <c r="J6" s="123" t="s">
        <v>34</v>
      </c>
      <c r="K6" s="123" t="s">
        <v>35</v>
      </c>
      <c r="L6" s="123" t="s">
        <v>35</v>
      </c>
      <c r="M6" s="123" t="s">
        <v>35</v>
      </c>
      <c r="N6" s="123" t="s">
        <v>35</v>
      </c>
      <c r="O6" s="123" t="s">
        <v>33</v>
      </c>
      <c r="P6" s="123" t="s">
        <v>33</v>
      </c>
      <c r="Q6" s="123" t="s">
        <v>33</v>
      </c>
      <c r="R6" s="123" t="s">
        <v>33</v>
      </c>
    </row>
    <row r="7" spans="1:19" x14ac:dyDescent="0.25">
      <c r="G7" s="5" t="s">
        <v>170</v>
      </c>
      <c r="H7" t="s">
        <v>171</v>
      </c>
      <c r="I7" t="s">
        <v>173</v>
      </c>
      <c r="J7" t="s">
        <v>172</v>
      </c>
      <c r="K7" s="5" t="s">
        <v>170</v>
      </c>
      <c r="L7" t="s">
        <v>171</v>
      </c>
      <c r="M7" t="s">
        <v>173</v>
      </c>
      <c r="N7" t="s">
        <v>172</v>
      </c>
      <c r="O7" s="5" t="s">
        <v>170</v>
      </c>
      <c r="P7" t="s">
        <v>171</v>
      </c>
      <c r="Q7" t="s">
        <v>173</v>
      </c>
      <c r="R7" t="s">
        <v>172</v>
      </c>
    </row>
    <row r="8" spans="1:19" x14ac:dyDescent="0.25">
      <c r="D8" s="12" t="s">
        <v>163</v>
      </c>
      <c r="E8" s="11">
        <f>MAX(G8:R8)</f>
        <v>0.88</v>
      </c>
      <c r="F8" s="35" t="s">
        <v>76</v>
      </c>
      <c r="G8" s="8">
        <f>MAX(Table1[BCEP_SG])</f>
        <v>0.64</v>
      </c>
      <c r="H8" s="8">
        <f>MAX(Table1[BCIPP_SG])</f>
        <v>0.71</v>
      </c>
      <c r="I8" s="8">
        <f>MAX(Table1[BCIPHIPP_SG])</f>
        <v>0.69099999999999995</v>
      </c>
      <c r="J8" s="8">
        <f>MAX(Table1[BDCIPP_SG])</f>
        <v>0.83</v>
      </c>
      <c r="K8" s="8">
        <f>MAX(Table1[BCEP_CR])</f>
        <v>0.67</v>
      </c>
      <c r="L8" s="8">
        <f>MAX(Table1[BCIPP_CR])</f>
        <v>0.55000000000000004</v>
      </c>
      <c r="M8" s="8">
        <f>MAX(Table1[BCIPHIPP_CR])</f>
        <v>0.746</v>
      </c>
      <c r="N8" s="8">
        <f>MAX(Table1[BDCIPP_CR])</f>
        <v>0.68100000000000005</v>
      </c>
      <c r="O8" s="8">
        <f>MAX(Table1[BCEP_UN])</f>
        <v>0.68</v>
      </c>
      <c r="P8" s="8">
        <f>MAX(Table1[BCIPP_UN])</f>
        <v>0.74</v>
      </c>
      <c r="Q8" s="8">
        <f>MAX(Table1[BCIPHIPP_UN])</f>
        <v>0.63600000000000001</v>
      </c>
      <c r="R8" s="8">
        <f>MAX(Table1[BDCIPP_UN])</f>
        <v>0.88</v>
      </c>
    </row>
    <row r="9" spans="1:19" x14ac:dyDescent="0.25">
      <c r="D9" s="12" t="s">
        <v>164</v>
      </c>
      <c r="E9" s="11">
        <f>MIN(G9:R9)</f>
        <v>0.03</v>
      </c>
      <c r="F9" s="35" t="s">
        <v>77</v>
      </c>
      <c r="G9" s="8">
        <f>MIN(Table1[BCEP_SG])</f>
        <v>0.03</v>
      </c>
      <c r="H9" s="8">
        <f>MIN(Table1[BCIPP_SG])</f>
        <v>0.34</v>
      </c>
      <c r="I9" s="8">
        <f>MIN(Table1[BCIPHIPP_SG])</f>
        <v>0.08</v>
      </c>
      <c r="J9" s="8">
        <f>MIN(Table1[BDCIPP_SG])</f>
        <v>0.17</v>
      </c>
      <c r="K9" s="8">
        <f>MIN(Table1[BCEP_CR])</f>
        <v>0.3</v>
      </c>
      <c r="L9" s="8">
        <f>MIN(Table1[BCIPP_CR])</f>
        <v>0.55000000000000004</v>
      </c>
      <c r="M9" s="8">
        <f>MIN(Table1[BCIPHIPP_CR])</f>
        <v>0.66700000000000004</v>
      </c>
      <c r="N9" s="8">
        <f>MIN(Table1[BDCIPP_CR])</f>
        <v>0.34</v>
      </c>
      <c r="O9" s="8">
        <f>MIN(Table1[BCEP_UN])</f>
        <v>0.03</v>
      </c>
      <c r="P9" s="8">
        <f>MIN(Table1[BCIPP_UN])</f>
        <v>0.18</v>
      </c>
      <c r="Q9" s="8">
        <f>MIN(Table1[BCIPHIPP_UN])</f>
        <v>7.0000000000000007E-2</v>
      </c>
      <c r="R9" s="8">
        <f>MIN(Table1[BDCIPP_UN])</f>
        <v>0.15</v>
      </c>
    </row>
    <row r="10" spans="1:19" ht="110.45" customHeight="1" x14ac:dyDescent="0.25">
      <c r="B10" s="121" t="s">
        <v>241</v>
      </c>
      <c r="C10" s="120"/>
      <c r="D10" s="51" t="s">
        <v>174</v>
      </c>
      <c r="E10" s="52">
        <f>MEDIAN(G10:R10)</f>
        <v>0.46250000000000002</v>
      </c>
      <c r="F10" s="53" t="s">
        <v>176</v>
      </c>
      <c r="G10" s="8">
        <f>MEDIAN(Table1[BCEP_SG])</f>
        <v>0.38</v>
      </c>
      <c r="H10" s="8">
        <f>MEDIAN(Table1[BCIPP_SG])</f>
        <v>0.495</v>
      </c>
      <c r="I10" s="8">
        <f>MEDIAN(Table1[BCIPHIPP_SG])</f>
        <v>0.32</v>
      </c>
      <c r="J10" s="8">
        <f>MEDIAN(Table1[BDCIPP_SG])</f>
        <v>0.42</v>
      </c>
      <c r="K10" s="8">
        <f>MEDIAN(Table1[BCEP_CR])</f>
        <v>0.34</v>
      </c>
      <c r="L10" s="8">
        <f>MEDIAN(Table1[BCIPP_CR])</f>
        <v>0.55000000000000004</v>
      </c>
      <c r="M10" s="8">
        <f>MEDIAN(Table1[BCIPHIPP_CR])</f>
        <v>0.70650000000000002</v>
      </c>
      <c r="N10" s="8">
        <f>MEDIAN(Table1[BDCIPP_CR])</f>
        <v>0.56599999999999995</v>
      </c>
      <c r="O10" s="8">
        <f>MEDIAN(Table1[BCEP_UN])</f>
        <v>0.51</v>
      </c>
      <c r="P10" s="8">
        <f>MEDIAN(Table1[BCIPP_UN])</f>
        <v>0.43</v>
      </c>
      <c r="Q10" s="8">
        <f>MEDIAN(Table1[BCIPHIPP_UN])</f>
        <v>0.27849999999999997</v>
      </c>
      <c r="R10" s="8">
        <f>MEDIAN(Table1[BDCIPP_UN])</f>
        <v>0.505</v>
      </c>
    </row>
    <row r="11" spans="1:19" s="2" customFormat="1" x14ac:dyDescent="0.25">
      <c r="A11" s="12"/>
      <c r="B11" s="12"/>
      <c r="C11" s="12"/>
      <c r="D11" s="12"/>
      <c r="E11" s="13"/>
      <c r="F11" s="35"/>
      <c r="G11" s="126" t="s">
        <v>42</v>
      </c>
      <c r="H11" s="126" t="s">
        <v>42</v>
      </c>
      <c r="I11" s="126" t="s">
        <v>42</v>
      </c>
      <c r="J11" s="126" t="s">
        <v>42</v>
      </c>
      <c r="K11" s="126" t="s">
        <v>42</v>
      </c>
      <c r="L11" s="126" t="s">
        <v>42</v>
      </c>
      <c r="M11" s="126" t="s">
        <v>42</v>
      </c>
      <c r="N11" s="126" t="s">
        <v>42</v>
      </c>
      <c r="O11" s="126" t="s">
        <v>42</v>
      </c>
      <c r="P11" s="126" t="s">
        <v>42</v>
      </c>
      <c r="Q11" s="126" t="s">
        <v>42</v>
      </c>
      <c r="R11" s="126" t="s">
        <v>42</v>
      </c>
      <c r="S11" s="6"/>
    </row>
    <row r="12" spans="1:19" s="2" customFormat="1" x14ac:dyDescent="0.25">
      <c r="A12" s="12"/>
      <c r="B12" s="12"/>
      <c r="C12" s="12"/>
      <c r="D12" s="12"/>
      <c r="E12" s="13"/>
      <c r="F12" s="12"/>
      <c r="G12" s="123" t="s">
        <v>34</v>
      </c>
      <c r="H12" s="123" t="s">
        <v>34</v>
      </c>
      <c r="I12" s="123" t="s">
        <v>34</v>
      </c>
      <c r="J12" s="123" t="s">
        <v>34</v>
      </c>
      <c r="K12" s="123" t="s">
        <v>35</v>
      </c>
      <c r="L12" s="123" t="s">
        <v>35</v>
      </c>
      <c r="M12" s="123" t="s">
        <v>35</v>
      </c>
      <c r="N12" s="123" t="s">
        <v>35</v>
      </c>
      <c r="O12" s="123" t="s">
        <v>33</v>
      </c>
      <c r="P12" s="123" t="s">
        <v>33</v>
      </c>
      <c r="Q12" s="123" t="s">
        <v>33</v>
      </c>
      <c r="R12" s="123" t="s">
        <v>33</v>
      </c>
      <c r="S12" s="6"/>
    </row>
    <row r="13" spans="1:19" s="1" customFormat="1" x14ac:dyDescent="0.25">
      <c r="A13" s="57" t="s">
        <v>29</v>
      </c>
      <c r="B13" s="57" t="s">
        <v>30</v>
      </c>
      <c r="C13" s="57" t="s">
        <v>31</v>
      </c>
      <c r="D13" s="57" t="s">
        <v>32</v>
      </c>
      <c r="E13" s="57" t="s">
        <v>36</v>
      </c>
      <c r="F13" s="58" t="s">
        <v>43</v>
      </c>
      <c r="G13" s="58" t="s">
        <v>78</v>
      </c>
      <c r="H13" s="58" t="s">
        <v>79</v>
      </c>
      <c r="I13" s="58" t="s">
        <v>80</v>
      </c>
      <c r="J13" s="58" t="s">
        <v>81</v>
      </c>
      <c r="K13" s="58" t="s">
        <v>82</v>
      </c>
      <c r="L13" s="58" t="s">
        <v>83</v>
      </c>
      <c r="M13" s="58" t="s">
        <v>84</v>
      </c>
      <c r="N13" s="58" t="s">
        <v>85</v>
      </c>
      <c r="O13" s="58" t="s">
        <v>86</v>
      </c>
      <c r="P13" s="58" t="s">
        <v>87</v>
      </c>
      <c r="Q13" s="58" t="s">
        <v>88</v>
      </c>
      <c r="R13" s="58" t="s">
        <v>89</v>
      </c>
      <c r="S13" s="58" t="s">
        <v>39</v>
      </c>
    </row>
    <row r="14" spans="1:19" s="55" customFormat="1" x14ac:dyDescent="0.25">
      <c r="A14" s="14">
        <v>70</v>
      </c>
      <c r="B14" s="14" t="s">
        <v>0</v>
      </c>
      <c r="C14" s="14">
        <v>2019</v>
      </c>
      <c r="D14" s="14" t="s">
        <v>1</v>
      </c>
      <c r="E14" s="15" t="s">
        <v>62</v>
      </c>
      <c r="F14" s="25" t="s">
        <v>52</v>
      </c>
      <c r="G14" s="25">
        <v>0.03</v>
      </c>
      <c r="H14" s="25">
        <v>0.34</v>
      </c>
      <c r="I14" s="25" t="s">
        <v>41</v>
      </c>
      <c r="J14" s="25">
        <v>0.23</v>
      </c>
      <c r="K14" s="25" t="s">
        <v>41</v>
      </c>
      <c r="L14" s="25" t="s">
        <v>41</v>
      </c>
      <c r="M14" s="25" t="s">
        <v>41</v>
      </c>
      <c r="N14" s="25" t="s">
        <v>41</v>
      </c>
      <c r="O14" s="25">
        <v>0.03</v>
      </c>
      <c r="P14" s="25">
        <v>0.27</v>
      </c>
      <c r="Q14" s="25" t="s">
        <v>41</v>
      </c>
      <c r="R14" s="25">
        <v>0.26</v>
      </c>
      <c r="S14" s="25" t="s">
        <v>40</v>
      </c>
    </row>
    <row r="15" spans="1:19" x14ac:dyDescent="0.25">
      <c r="A15" s="16">
        <v>130</v>
      </c>
      <c r="B15" s="16" t="s">
        <v>2</v>
      </c>
      <c r="C15" s="16">
        <v>2021</v>
      </c>
      <c r="D15" s="16" t="s">
        <v>3</v>
      </c>
      <c r="E15" s="17" t="s">
        <v>71</v>
      </c>
      <c r="F15" s="26" t="s">
        <v>53</v>
      </c>
      <c r="G15" s="26" t="s">
        <v>41</v>
      </c>
      <c r="H15" s="26" t="s">
        <v>41</v>
      </c>
      <c r="I15" s="26" t="s">
        <v>41</v>
      </c>
      <c r="J15" s="26" t="s">
        <v>41</v>
      </c>
      <c r="K15" s="26">
        <v>0.3</v>
      </c>
      <c r="L15" s="26" t="s">
        <v>41</v>
      </c>
      <c r="M15" s="26" t="s">
        <v>41</v>
      </c>
      <c r="N15" s="26">
        <v>0.34</v>
      </c>
      <c r="O15" s="26" t="s">
        <v>41</v>
      </c>
      <c r="P15" s="26" t="s">
        <v>41</v>
      </c>
      <c r="Q15" s="26" t="s">
        <v>41</v>
      </c>
      <c r="R15" s="26" t="s">
        <v>41</v>
      </c>
      <c r="S15" s="26"/>
    </row>
    <row r="16" spans="1:19" x14ac:dyDescent="0.25">
      <c r="A16" s="14">
        <v>136</v>
      </c>
      <c r="B16" s="14" t="s">
        <v>4</v>
      </c>
      <c r="C16" s="14">
        <v>2020</v>
      </c>
      <c r="D16" s="14" t="s">
        <v>5</v>
      </c>
      <c r="E16" s="15" t="s">
        <v>63</v>
      </c>
      <c r="F16" s="26" t="s">
        <v>53</v>
      </c>
      <c r="G16" s="26" t="s">
        <v>41</v>
      </c>
      <c r="H16" s="26" t="s">
        <v>41</v>
      </c>
      <c r="I16" s="26" t="s">
        <v>41</v>
      </c>
      <c r="J16" s="26" t="s">
        <v>41</v>
      </c>
      <c r="K16" s="26">
        <v>0.34</v>
      </c>
      <c r="L16" s="26" t="s">
        <v>41</v>
      </c>
      <c r="M16" s="26" t="s">
        <v>41</v>
      </c>
      <c r="N16" s="26">
        <v>0.36</v>
      </c>
      <c r="O16" s="26">
        <v>0.4</v>
      </c>
      <c r="P16" s="26" t="s">
        <v>41</v>
      </c>
      <c r="Q16" s="26" t="s">
        <v>41</v>
      </c>
      <c r="R16" s="26">
        <v>0.38</v>
      </c>
      <c r="S16" s="26"/>
    </row>
    <row r="17" spans="1:19" x14ac:dyDescent="0.25">
      <c r="A17" s="16">
        <v>141</v>
      </c>
      <c r="B17" s="16" t="s">
        <v>6</v>
      </c>
      <c r="C17" s="16">
        <v>2020</v>
      </c>
      <c r="D17" s="16" t="s">
        <v>7</v>
      </c>
      <c r="E17" s="17" t="s">
        <v>37</v>
      </c>
      <c r="F17" s="26" t="s">
        <v>54</v>
      </c>
      <c r="G17" s="26" t="s">
        <v>41</v>
      </c>
      <c r="H17" s="26" t="s">
        <v>41</v>
      </c>
      <c r="I17" s="26" t="s">
        <v>41</v>
      </c>
      <c r="J17" s="26">
        <v>0.59</v>
      </c>
      <c r="K17" s="26" t="s">
        <v>41</v>
      </c>
      <c r="L17" s="26" t="s">
        <v>41</v>
      </c>
      <c r="M17" s="26" t="s">
        <v>41</v>
      </c>
      <c r="N17" s="26" t="s">
        <v>41</v>
      </c>
      <c r="O17" s="26" t="s">
        <v>41</v>
      </c>
      <c r="P17" s="26">
        <v>0.18</v>
      </c>
      <c r="Q17" s="26" t="s">
        <v>41</v>
      </c>
      <c r="R17" s="26">
        <v>0.68</v>
      </c>
      <c r="S17" s="26" t="s">
        <v>90</v>
      </c>
    </row>
    <row r="18" spans="1:19" s="54" customFormat="1" x14ac:dyDescent="0.25">
      <c r="A18" s="14">
        <v>173</v>
      </c>
      <c r="B18" s="14" t="s">
        <v>8</v>
      </c>
      <c r="C18" s="14">
        <v>2017</v>
      </c>
      <c r="D18" s="14" t="s">
        <v>9</v>
      </c>
      <c r="E18" s="15" t="s">
        <v>64</v>
      </c>
      <c r="F18" s="25" t="s">
        <v>55</v>
      </c>
      <c r="G18" s="25">
        <v>0.5</v>
      </c>
      <c r="H18" s="25" t="s">
        <v>41</v>
      </c>
      <c r="I18" s="25" t="s">
        <v>41</v>
      </c>
      <c r="J18" s="25">
        <v>0.6</v>
      </c>
      <c r="K18" s="25" t="s">
        <v>41</v>
      </c>
      <c r="L18" s="25" t="s">
        <v>41</v>
      </c>
      <c r="M18" s="25" t="s">
        <v>41</v>
      </c>
      <c r="N18" s="25" t="s">
        <v>41</v>
      </c>
      <c r="O18" s="25">
        <v>0.56999999999999995</v>
      </c>
      <c r="P18" s="25" t="s">
        <v>41</v>
      </c>
      <c r="Q18" s="25" t="s">
        <v>41</v>
      </c>
      <c r="R18" s="25">
        <v>0.61</v>
      </c>
      <c r="S18" s="25" t="s">
        <v>61</v>
      </c>
    </row>
    <row r="19" spans="1:19" x14ac:dyDescent="0.25">
      <c r="A19" s="118">
        <v>384</v>
      </c>
      <c r="B19" s="16" t="s">
        <v>10</v>
      </c>
      <c r="C19" s="16" t="s">
        <v>11</v>
      </c>
      <c r="D19" s="16" t="s">
        <v>12</v>
      </c>
      <c r="E19" s="17" t="s">
        <v>65</v>
      </c>
      <c r="F19" s="26" t="s">
        <v>53</v>
      </c>
      <c r="G19" s="26">
        <v>0.28000000000000003</v>
      </c>
      <c r="H19" s="26" t="s">
        <v>41</v>
      </c>
      <c r="I19" s="26" t="s">
        <v>41</v>
      </c>
      <c r="J19" s="26">
        <v>0.34</v>
      </c>
      <c r="K19" s="26" t="s">
        <v>41</v>
      </c>
      <c r="L19" s="26" t="s">
        <v>41</v>
      </c>
      <c r="M19" s="26" t="s">
        <v>41</v>
      </c>
      <c r="N19" s="26" t="s">
        <v>41</v>
      </c>
      <c r="O19" s="26">
        <v>0.33</v>
      </c>
      <c r="P19" s="26" t="s">
        <v>41</v>
      </c>
      <c r="Q19" s="26" t="s">
        <v>41</v>
      </c>
      <c r="R19" s="26">
        <v>0.38</v>
      </c>
      <c r="S19" s="26"/>
    </row>
    <row r="20" spans="1:19" x14ac:dyDescent="0.25">
      <c r="A20" s="14">
        <v>35</v>
      </c>
      <c r="B20" s="14" t="s">
        <v>13</v>
      </c>
      <c r="C20" s="14">
        <v>2021</v>
      </c>
      <c r="D20" s="14" t="s">
        <v>14</v>
      </c>
      <c r="E20" s="15" t="s">
        <v>66</v>
      </c>
      <c r="F20" s="25" t="s">
        <v>56</v>
      </c>
      <c r="G20" s="25" t="s">
        <v>41</v>
      </c>
      <c r="H20" s="25" t="s">
        <v>41</v>
      </c>
      <c r="I20" s="25" t="s">
        <v>41</v>
      </c>
      <c r="J20" s="25">
        <v>0.41</v>
      </c>
      <c r="K20" s="25" t="s">
        <v>41</v>
      </c>
      <c r="L20" s="25" t="s">
        <v>41</v>
      </c>
      <c r="M20" s="25" t="s">
        <v>41</v>
      </c>
      <c r="N20" s="25" t="s">
        <v>41</v>
      </c>
      <c r="O20" s="25" t="s">
        <v>41</v>
      </c>
      <c r="P20" s="25" t="s">
        <v>41</v>
      </c>
      <c r="Q20" s="25" t="s">
        <v>41</v>
      </c>
      <c r="R20" s="25">
        <v>0.51</v>
      </c>
      <c r="S20" s="25" t="s">
        <v>72</v>
      </c>
    </row>
    <row r="21" spans="1:19" x14ac:dyDescent="0.25">
      <c r="A21" s="16">
        <v>1</v>
      </c>
      <c r="B21" s="16" t="s">
        <v>15</v>
      </c>
      <c r="C21" s="16">
        <v>2019</v>
      </c>
      <c r="D21" s="16" t="s">
        <v>16</v>
      </c>
      <c r="E21" s="17" t="s">
        <v>67</v>
      </c>
      <c r="F21" s="26" t="s">
        <v>57</v>
      </c>
      <c r="G21" s="26" t="s">
        <v>41</v>
      </c>
      <c r="H21" s="26">
        <v>0.45</v>
      </c>
      <c r="I21" s="26">
        <v>0.3</v>
      </c>
      <c r="J21" s="26">
        <v>0.52</v>
      </c>
      <c r="K21" s="26" t="s">
        <v>41</v>
      </c>
      <c r="L21" s="26" t="s">
        <v>41</v>
      </c>
      <c r="M21" s="26" t="s">
        <v>41</v>
      </c>
      <c r="N21" s="26" t="s">
        <v>41</v>
      </c>
      <c r="O21" s="26" t="s">
        <v>41</v>
      </c>
      <c r="P21" s="26" t="s">
        <v>41</v>
      </c>
      <c r="Q21" s="26" t="s">
        <v>41</v>
      </c>
      <c r="R21" s="26" t="s">
        <v>41</v>
      </c>
      <c r="S21" s="26" t="s">
        <v>60</v>
      </c>
    </row>
    <row r="22" spans="1:19" x14ac:dyDescent="0.25">
      <c r="A22" s="14">
        <v>66</v>
      </c>
      <c r="B22" s="14" t="s">
        <v>17</v>
      </c>
      <c r="C22" s="14">
        <v>2021</v>
      </c>
      <c r="D22" s="14" t="s">
        <v>18</v>
      </c>
      <c r="E22" s="15" t="s">
        <v>68</v>
      </c>
      <c r="F22" s="25" t="s">
        <v>58</v>
      </c>
      <c r="G22" s="25" t="s">
        <v>41</v>
      </c>
      <c r="H22" s="25" t="s">
        <v>41</v>
      </c>
      <c r="I22" s="25" t="s">
        <v>41</v>
      </c>
      <c r="J22" s="25">
        <v>0.38</v>
      </c>
      <c r="K22" s="25" t="s">
        <v>41</v>
      </c>
      <c r="L22" s="25" t="s">
        <v>41</v>
      </c>
      <c r="M22" s="25" t="s">
        <v>41</v>
      </c>
      <c r="N22" s="25" t="s">
        <v>41</v>
      </c>
      <c r="O22" s="25" t="s">
        <v>41</v>
      </c>
      <c r="P22" s="25" t="s">
        <v>41</v>
      </c>
      <c r="Q22" s="25" t="s">
        <v>41</v>
      </c>
      <c r="R22" s="25" t="s">
        <v>41</v>
      </c>
      <c r="S22" s="25" t="s">
        <v>40</v>
      </c>
    </row>
    <row r="23" spans="1:19" x14ac:dyDescent="0.25">
      <c r="A23" s="18">
        <v>153</v>
      </c>
      <c r="B23" s="18" t="s">
        <v>19</v>
      </c>
      <c r="C23" s="18">
        <v>2019</v>
      </c>
      <c r="D23" s="18" t="s">
        <v>20</v>
      </c>
      <c r="E23" s="19" t="s">
        <v>73</v>
      </c>
      <c r="F23" s="114" t="s">
        <v>45</v>
      </c>
      <c r="G23" s="114" t="s">
        <v>41</v>
      </c>
      <c r="H23" s="114" t="s">
        <v>41</v>
      </c>
      <c r="I23" s="114" t="s">
        <v>41</v>
      </c>
      <c r="J23" s="114" t="s">
        <v>41</v>
      </c>
      <c r="K23" s="114" t="s">
        <v>41</v>
      </c>
      <c r="L23" s="114" t="s">
        <v>41</v>
      </c>
      <c r="M23" s="114" t="s">
        <v>41</v>
      </c>
      <c r="N23" s="114" t="s">
        <v>41</v>
      </c>
      <c r="O23" s="114">
        <v>0.68</v>
      </c>
      <c r="P23" s="114" t="s">
        <v>41</v>
      </c>
      <c r="Q23" s="114" t="s">
        <v>41</v>
      </c>
      <c r="R23" s="114">
        <v>0.88</v>
      </c>
      <c r="S23" s="114"/>
    </row>
    <row r="24" spans="1:19" x14ac:dyDescent="0.25">
      <c r="A24" s="18">
        <v>153</v>
      </c>
      <c r="B24" s="18" t="s">
        <v>19</v>
      </c>
      <c r="C24" s="18">
        <v>2019</v>
      </c>
      <c r="D24" s="18" t="s">
        <v>20</v>
      </c>
      <c r="E24" s="19" t="s">
        <v>73</v>
      </c>
      <c r="F24" s="114" t="s">
        <v>46</v>
      </c>
      <c r="G24" s="114" t="s">
        <v>41</v>
      </c>
      <c r="H24" s="114" t="s">
        <v>41</v>
      </c>
      <c r="I24" s="114" t="s">
        <v>41</v>
      </c>
      <c r="J24" s="114" t="s">
        <v>41</v>
      </c>
      <c r="K24" s="114" t="s">
        <v>41</v>
      </c>
      <c r="L24" s="114" t="s">
        <v>41</v>
      </c>
      <c r="M24" s="114" t="s">
        <v>41</v>
      </c>
      <c r="N24" s="114" t="s">
        <v>41</v>
      </c>
      <c r="O24" s="114">
        <v>0.5</v>
      </c>
      <c r="P24" s="114" t="s">
        <v>41</v>
      </c>
      <c r="Q24" s="114" t="s">
        <v>41</v>
      </c>
      <c r="R24" s="114">
        <v>0.87</v>
      </c>
      <c r="S24" s="114"/>
    </row>
    <row r="25" spans="1:19" x14ac:dyDescent="0.25">
      <c r="A25" s="9">
        <v>39</v>
      </c>
      <c r="B25" s="9" t="s">
        <v>21</v>
      </c>
      <c r="C25" s="9">
        <v>2021</v>
      </c>
      <c r="D25" s="9" t="s">
        <v>22</v>
      </c>
      <c r="E25" s="20" t="s">
        <v>38</v>
      </c>
      <c r="F25" s="27" t="s">
        <v>44</v>
      </c>
      <c r="G25" s="27" t="s">
        <v>41</v>
      </c>
      <c r="H25" s="27" t="s">
        <v>41</v>
      </c>
      <c r="I25" s="27">
        <v>0.56000000000000005</v>
      </c>
      <c r="J25" s="27">
        <v>0.68</v>
      </c>
      <c r="K25" s="27" t="s">
        <v>41</v>
      </c>
      <c r="L25" s="27" t="s">
        <v>41</v>
      </c>
      <c r="M25" s="27" t="s">
        <v>41</v>
      </c>
      <c r="N25" s="27" t="s">
        <v>41</v>
      </c>
      <c r="O25" s="27" t="s">
        <v>41</v>
      </c>
      <c r="P25" s="27" t="s">
        <v>41</v>
      </c>
      <c r="Q25" s="27" t="s">
        <v>41</v>
      </c>
      <c r="R25" s="27" t="s">
        <v>41</v>
      </c>
      <c r="S25" s="27" t="s">
        <v>40</v>
      </c>
    </row>
    <row r="26" spans="1:19" x14ac:dyDescent="0.25">
      <c r="A26" s="9">
        <v>88</v>
      </c>
      <c r="B26" s="9" t="s">
        <v>23</v>
      </c>
      <c r="C26" s="9">
        <v>2019</v>
      </c>
      <c r="D26" s="9" t="s">
        <v>24</v>
      </c>
      <c r="E26" s="20" t="s">
        <v>74</v>
      </c>
      <c r="F26" s="27" t="s">
        <v>48</v>
      </c>
      <c r="G26" s="27">
        <v>0.64</v>
      </c>
      <c r="H26" s="27">
        <v>0.71</v>
      </c>
      <c r="I26" s="27" t="s">
        <v>41</v>
      </c>
      <c r="J26" s="27">
        <v>0.7</v>
      </c>
      <c r="K26" s="27">
        <v>0.67</v>
      </c>
      <c r="L26" s="27">
        <v>0.55000000000000004</v>
      </c>
      <c r="M26" s="27" t="s">
        <v>41</v>
      </c>
      <c r="N26" s="27">
        <v>0.68</v>
      </c>
      <c r="O26" s="27">
        <v>0.65</v>
      </c>
      <c r="P26" s="27">
        <v>0.74</v>
      </c>
      <c r="Q26" s="27" t="s">
        <v>41</v>
      </c>
      <c r="R26" s="27">
        <v>0.69</v>
      </c>
      <c r="S26" s="27" t="s">
        <v>47</v>
      </c>
    </row>
    <row r="27" spans="1:19" x14ac:dyDescent="0.25">
      <c r="A27" s="21">
        <v>174</v>
      </c>
      <c r="B27" s="21" t="s">
        <v>25</v>
      </c>
      <c r="C27" s="21">
        <v>2014</v>
      </c>
      <c r="D27" s="21" t="s">
        <v>26</v>
      </c>
      <c r="E27" s="22" t="s">
        <v>69</v>
      </c>
      <c r="F27" s="28" t="s">
        <v>91</v>
      </c>
      <c r="G27" s="28" t="s">
        <v>41</v>
      </c>
      <c r="H27" s="28" t="s">
        <v>41</v>
      </c>
      <c r="I27" s="28" t="s">
        <v>41</v>
      </c>
      <c r="J27" s="28">
        <v>0.6</v>
      </c>
      <c r="K27" s="28" t="s">
        <v>41</v>
      </c>
      <c r="L27" s="28" t="s">
        <v>41</v>
      </c>
      <c r="M27" s="28" t="s">
        <v>41</v>
      </c>
      <c r="N27" s="28" t="s">
        <v>41</v>
      </c>
      <c r="O27" s="28" t="s">
        <v>41</v>
      </c>
      <c r="P27" s="28" t="s">
        <v>41</v>
      </c>
      <c r="Q27" s="28" t="s">
        <v>41</v>
      </c>
      <c r="R27" s="28">
        <v>0.5</v>
      </c>
      <c r="S27" s="28" t="s">
        <v>40</v>
      </c>
    </row>
    <row r="28" spans="1:19" x14ac:dyDescent="0.25">
      <c r="A28" s="21">
        <v>174</v>
      </c>
      <c r="B28" s="21" t="s">
        <v>25</v>
      </c>
      <c r="C28" s="21">
        <v>2014</v>
      </c>
      <c r="D28" s="21" t="s">
        <v>26</v>
      </c>
      <c r="E28" s="22" t="s">
        <v>69</v>
      </c>
      <c r="F28" s="28" t="s">
        <v>92</v>
      </c>
      <c r="G28" s="28" t="s">
        <v>41</v>
      </c>
      <c r="H28" s="28" t="s">
        <v>41</v>
      </c>
      <c r="I28" s="28" t="s">
        <v>41</v>
      </c>
      <c r="J28" s="28">
        <v>0.4</v>
      </c>
      <c r="K28" s="28" t="s">
        <v>41</v>
      </c>
      <c r="L28" s="28" t="s">
        <v>41</v>
      </c>
      <c r="M28" s="28" t="s">
        <v>41</v>
      </c>
      <c r="N28" s="28" t="s">
        <v>41</v>
      </c>
      <c r="O28" s="28" t="s">
        <v>41</v>
      </c>
      <c r="P28" s="28" t="s">
        <v>41</v>
      </c>
      <c r="Q28" s="28" t="s">
        <v>41</v>
      </c>
      <c r="R28" s="28">
        <v>0.5</v>
      </c>
      <c r="S28" s="28" t="s">
        <v>40</v>
      </c>
    </row>
    <row r="29" spans="1:19" x14ac:dyDescent="0.25">
      <c r="A29" s="115">
        <v>20</v>
      </c>
      <c r="B29" s="115" t="s">
        <v>27</v>
      </c>
      <c r="C29" s="115">
        <v>2021</v>
      </c>
      <c r="D29" s="115" t="s">
        <v>28</v>
      </c>
      <c r="E29" s="38" t="s">
        <v>75</v>
      </c>
      <c r="F29" s="115" t="s">
        <v>50</v>
      </c>
      <c r="G29" s="115" t="s">
        <v>41</v>
      </c>
      <c r="H29" s="115" t="s">
        <v>41</v>
      </c>
      <c r="I29" s="115">
        <v>0.59899999999999998</v>
      </c>
      <c r="J29" s="115">
        <v>0.58799999999999997</v>
      </c>
      <c r="K29" s="115" t="s">
        <v>41</v>
      </c>
      <c r="L29" s="115" t="s">
        <v>41</v>
      </c>
      <c r="M29" s="115">
        <v>0.66700000000000004</v>
      </c>
      <c r="N29" s="115">
        <v>0.56599999999999995</v>
      </c>
      <c r="O29" s="115" t="s">
        <v>41</v>
      </c>
      <c r="P29" s="115" t="s">
        <v>41</v>
      </c>
      <c r="Q29" s="115">
        <v>0.36699999999999999</v>
      </c>
      <c r="R29" s="115">
        <v>0.54800000000000004</v>
      </c>
      <c r="S29" s="115" t="s">
        <v>51</v>
      </c>
    </row>
    <row r="30" spans="1:19" x14ac:dyDescent="0.25">
      <c r="A30" s="115">
        <v>20</v>
      </c>
      <c r="B30" s="115" t="s">
        <v>27</v>
      </c>
      <c r="C30" s="115">
        <v>2021</v>
      </c>
      <c r="D30" s="115" t="s">
        <v>28</v>
      </c>
      <c r="E30" s="38" t="s">
        <v>75</v>
      </c>
      <c r="F30" s="115" t="s">
        <v>49</v>
      </c>
      <c r="G30" s="115" t="s">
        <v>41</v>
      </c>
      <c r="H30" s="115" t="s">
        <v>41</v>
      </c>
      <c r="I30" s="115">
        <v>0.69099999999999995</v>
      </c>
      <c r="J30" s="115">
        <v>0.65900000000000003</v>
      </c>
      <c r="K30" s="115" t="s">
        <v>41</v>
      </c>
      <c r="L30" s="115" t="s">
        <v>41</v>
      </c>
      <c r="M30" s="115">
        <v>0.746</v>
      </c>
      <c r="N30" s="115">
        <v>0.68100000000000005</v>
      </c>
      <c r="O30" s="115" t="s">
        <v>41</v>
      </c>
      <c r="P30" s="115" t="s">
        <v>41</v>
      </c>
      <c r="Q30" s="115">
        <v>0.63600000000000001</v>
      </c>
      <c r="R30" s="115">
        <v>0.63700000000000001</v>
      </c>
      <c r="S30" s="115" t="s">
        <v>51</v>
      </c>
    </row>
    <row r="31" spans="1:19" x14ac:dyDescent="0.25">
      <c r="A31" s="23">
        <v>159</v>
      </c>
      <c r="B31" s="23" t="s">
        <v>93</v>
      </c>
      <c r="C31" s="23">
        <v>2018</v>
      </c>
      <c r="D31" s="23" t="s">
        <v>94</v>
      </c>
      <c r="E31" s="24"/>
      <c r="F31" s="23" t="s">
        <v>95</v>
      </c>
      <c r="G31" s="23" t="s">
        <v>41</v>
      </c>
      <c r="H31" s="23" t="s">
        <v>41</v>
      </c>
      <c r="I31" s="23" t="s">
        <v>41</v>
      </c>
      <c r="J31" s="23">
        <v>0.21</v>
      </c>
      <c r="K31" s="23" t="s">
        <v>41</v>
      </c>
      <c r="L31" s="23" t="s">
        <v>41</v>
      </c>
      <c r="M31" s="23" t="s">
        <v>41</v>
      </c>
      <c r="N31" s="23" t="s">
        <v>41</v>
      </c>
      <c r="O31" s="23" t="s">
        <v>41</v>
      </c>
      <c r="P31" s="23" t="s">
        <v>41</v>
      </c>
      <c r="Q31" s="23" t="s">
        <v>41</v>
      </c>
      <c r="R31" s="23">
        <v>0.34</v>
      </c>
      <c r="S31" s="23" t="s">
        <v>40</v>
      </c>
    </row>
    <row r="32" spans="1:19" x14ac:dyDescent="0.25">
      <c r="A32" s="23">
        <v>159</v>
      </c>
      <c r="B32" s="23" t="s">
        <v>93</v>
      </c>
      <c r="C32" s="23">
        <v>2018</v>
      </c>
      <c r="D32" s="23" t="s">
        <v>94</v>
      </c>
      <c r="E32" s="24"/>
      <c r="F32" s="23" t="s">
        <v>96</v>
      </c>
      <c r="G32" s="23" t="s">
        <v>41</v>
      </c>
      <c r="H32" s="23" t="s">
        <v>41</v>
      </c>
      <c r="I32" s="23" t="s">
        <v>41</v>
      </c>
      <c r="J32" s="23">
        <v>0.18</v>
      </c>
      <c r="K32" s="23" t="s">
        <v>41</v>
      </c>
      <c r="L32" s="23" t="s">
        <v>41</v>
      </c>
      <c r="M32" s="23" t="s">
        <v>41</v>
      </c>
      <c r="N32" s="23" t="s">
        <v>41</v>
      </c>
      <c r="O32" s="23" t="s">
        <v>41</v>
      </c>
      <c r="P32" s="23" t="s">
        <v>41</v>
      </c>
      <c r="Q32" s="23" t="s">
        <v>41</v>
      </c>
      <c r="R32" s="23">
        <v>0.3</v>
      </c>
      <c r="S32" s="23" t="s">
        <v>40</v>
      </c>
    </row>
    <row r="33" spans="1:19" x14ac:dyDescent="0.25">
      <c r="A33" s="115">
        <v>170</v>
      </c>
      <c r="B33" s="115" t="s">
        <v>97</v>
      </c>
      <c r="C33" s="115">
        <v>2013</v>
      </c>
      <c r="D33" s="115" t="s">
        <v>98</v>
      </c>
      <c r="E33" s="38" t="s">
        <v>99</v>
      </c>
      <c r="F33" s="36" t="s">
        <v>100</v>
      </c>
      <c r="G33" s="36" t="s">
        <v>41</v>
      </c>
      <c r="H33" s="36" t="s">
        <v>41</v>
      </c>
      <c r="I33" s="36" t="s">
        <v>41</v>
      </c>
      <c r="J33" s="36">
        <v>0.55000000000000004</v>
      </c>
      <c r="K33" s="36" t="s">
        <v>41</v>
      </c>
      <c r="L33" s="36" t="s">
        <v>41</v>
      </c>
      <c r="M33" s="36" t="s">
        <v>41</v>
      </c>
      <c r="N33" s="36" t="s">
        <v>41</v>
      </c>
      <c r="O33" s="36" t="s">
        <v>41</v>
      </c>
      <c r="P33" s="36" t="s">
        <v>41</v>
      </c>
      <c r="Q33" s="36" t="s">
        <v>41</v>
      </c>
      <c r="R33" s="36">
        <v>0.62</v>
      </c>
      <c r="S33" s="36" t="s">
        <v>40</v>
      </c>
    </row>
    <row r="34" spans="1:19" x14ac:dyDescent="0.25">
      <c r="A34" s="32">
        <v>170</v>
      </c>
      <c r="B34" s="32" t="s">
        <v>97</v>
      </c>
      <c r="C34" s="32">
        <v>2013</v>
      </c>
      <c r="D34" s="32" t="s">
        <v>98</v>
      </c>
      <c r="E34" s="33" t="s">
        <v>99</v>
      </c>
      <c r="F34" s="36" t="s">
        <v>101</v>
      </c>
      <c r="G34" s="36" t="s">
        <v>41</v>
      </c>
      <c r="H34" s="36" t="s">
        <v>41</v>
      </c>
      <c r="I34" s="36" t="s">
        <v>41</v>
      </c>
      <c r="J34" s="36">
        <v>0.72</v>
      </c>
      <c r="K34" s="36" t="s">
        <v>41</v>
      </c>
      <c r="L34" s="36" t="s">
        <v>41</v>
      </c>
      <c r="M34" s="36" t="s">
        <v>41</v>
      </c>
      <c r="N34" s="36" t="s">
        <v>41</v>
      </c>
      <c r="O34" s="36" t="s">
        <v>41</v>
      </c>
      <c r="P34" s="36" t="s">
        <v>41</v>
      </c>
      <c r="Q34" s="36" t="s">
        <v>41</v>
      </c>
      <c r="R34" s="36">
        <v>0.7</v>
      </c>
      <c r="S34" s="36" t="s">
        <v>40</v>
      </c>
    </row>
    <row r="35" spans="1:19" s="55" customFormat="1" x14ac:dyDescent="0.25">
      <c r="A35" s="23">
        <v>378</v>
      </c>
      <c r="B35" s="99" t="s">
        <v>102</v>
      </c>
      <c r="C35" s="99" t="s">
        <v>103</v>
      </c>
      <c r="D35" s="99" t="s">
        <v>104</v>
      </c>
      <c r="E35" s="39" t="s">
        <v>152</v>
      </c>
      <c r="F35" s="99" t="s">
        <v>105</v>
      </c>
      <c r="G35" s="99">
        <v>0.38</v>
      </c>
      <c r="H35" s="99" t="s">
        <v>41</v>
      </c>
      <c r="I35" s="99" t="s">
        <v>41</v>
      </c>
      <c r="J35" s="99">
        <v>0.28000000000000003</v>
      </c>
      <c r="K35" s="99" t="s">
        <v>41</v>
      </c>
      <c r="L35" s="99" t="s">
        <v>41</v>
      </c>
      <c r="M35" s="99" t="s">
        <v>41</v>
      </c>
      <c r="N35" s="99" t="s">
        <v>41</v>
      </c>
      <c r="O35" s="99" t="s">
        <v>41</v>
      </c>
      <c r="P35" s="99" t="s">
        <v>41</v>
      </c>
      <c r="Q35" s="99" t="s">
        <v>41</v>
      </c>
      <c r="R35" s="99" t="s">
        <v>41</v>
      </c>
      <c r="S35" s="99" t="s">
        <v>40</v>
      </c>
    </row>
    <row r="36" spans="1:19" x14ac:dyDescent="0.25">
      <c r="A36" s="23">
        <v>378</v>
      </c>
      <c r="B36" s="99" t="s">
        <v>102</v>
      </c>
      <c r="C36" s="99" t="s">
        <v>103</v>
      </c>
      <c r="D36" s="99" t="s">
        <v>104</v>
      </c>
      <c r="E36" s="39" t="s">
        <v>152</v>
      </c>
      <c r="F36" s="99" t="s">
        <v>106</v>
      </c>
      <c r="G36" s="99">
        <v>0.19</v>
      </c>
      <c r="H36" s="99" t="s">
        <v>41</v>
      </c>
      <c r="I36" s="99" t="s">
        <v>41</v>
      </c>
      <c r="J36" s="99">
        <v>0.43</v>
      </c>
      <c r="K36" s="99" t="s">
        <v>41</v>
      </c>
      <c r="L36" s="99" t="s">
        <v>41</v>
      </c>
      <c r="M36" s="99" t="s">
        <v>41</v>
      </c>
      <c r="N36" s="99" t="s">
        <v>41</v>
      </c>
      <c r="O36" s="99" t="s">
        <v>41</v>
      </c>
      <c r="P36" s="99" t="s">
        <v>41</v>
      </c>
      <c r="Q36" s="99" t="s">
        <v>41</v>
      </c>
      <c r="R36" s="99" t="s">
        <v>41</v>
      </c>
      <c r="S36" s="99" t="s">
        <v>40</v>
      </c>
    </row>
    <row r="37" spans="1:19" x14ac:dyDescent="0.25">
      <c r="A37" s="23">
        <v>378</v>
      </c>
      <c r="B37" s="99" t="s">
        <v>102</v>
      </c>
      <c r="C37" s="99" t="s">
        <v>103</v>
      </c>
      <c r="D37" s="99" t="s">
        <v>104</v>
      </c>
      <c r="E37" s="39" t="s">
        <v>152</v>
      </c>
      <c r="F37" s="99" t="s">
        <v>107</v>
      </c>
      <c r="G37" s="99">
        <v>0.34</v>
      </c>
      <c r="H37" s="99" t="s">
        <v>41</v>
      </c>
      <c r="I37" s="99" t="s">
        <v>41</v>
      </c>
      <c r="J37" s="99">
        <v>0.24</v>
      </c>
      <c r="K37" s="99" t="s">
        <v>41</v>
      </c>
      <c r="L37" s="99" t="s">
        <v>41</v>
      </c>
      <c r="M37" s="99" t="s">
        <v>41</v>
      </c>
      <c r="N37" s="99" t="s">
        <v>41</v>
      </c>
      <c r="O37" s="99" t="s">
        <v>41</v>
      </c>
      <c r="P37" s="99" t="s">
        <v>41</v>
      </c>
      <c r="Q37" s="99" t="s">
        <v>41</v>
      </c>
      <c r="R37" s="99" t="s">
        <v>41</v>
      </c>
      <c r="S37" s="99" t="s">
        <v>40</v>
      </c>
    </row>
    <row r="38" spans="1:19" x14ac:dyDescent="0.25">
      <c r="A38" s="30">
        <v>97</v>
      </c>
      <c r="B38" s="30" t="s">
        <v>108</v>
      </c>
      <c r="C38" s="30">
        <v>2020</v>
      </c>
      <c r="D38" s="30" t="s">
        <v>109</v>
      </c>
      <c r="E38" s="11" t="s">
        <v>153</v>
      </c>
      <c r="F38" s="27" t="s">
        <v>110</v>
      </c>
      <c r="G38" s="27">
        <v>0.47</v>
      </c>
      <c r="H38" s="27">
        <v>0.54</v>
      </c>
      <c r="I38" s="27" t="s">
        <v>41</v>
      </c>
      <c r="J38" s="27">
        <v>0.38</v>
      </c>
      <c r="K38" s="27" t="s">
        <v>41</v>
      </c>
      <c r="L38" s="27" t="s">
        <v>41</v>
      </c>
      <c r="M38" s="27" t="s">
        <v>41</v>
      </c>
      <c r="N38" s="27" t="s">
        <v>41</v>
      </c>
      <c r="O38" s="27">
        <v>0.51</v>
      </c>
      <c r="P38" s="27">
        <v>0.59</v>
      </c>
      <c r="Q38" s="27" t="s">
        <v>41</v>
      </c>
      <c r="R38" s="27">
        <v>0.43</v>
      </c>
      <c r="S38" s="27" t="s">
        <v>40</v>
      </c>
    </row>
    <row r="39" spans="1:19" x14ac:dyDescent="0.25">
      <c r="A39" s="31">
        <v>371</v>
      </c>
      <c r="B39" s="116" t="s">
        <v>111</v>
      </c>
      <c r="C39" s="116" t="s">
        <v>103</v>
      </c>
      <c r="D39" s="116" t="s">
        <v>112</v>
      </c>
      <c r="E39" s="11" t="s">
        <v>113</v>
      </c>
      <c r="F39" s="27" t="s">
        <v>114</v>
      </c>
      <c r="G39" s="27">
        <v>0.45</v>
      </c>
      <c r="H39" s="27" t="s">
        <v>41</v>
      </c>
      <c r="I39" s="27" t="s">
        <v>41</v>
      </c>
      <c r="J39" s="27">
        <v>0.4</v>
      </c>
      <c r="K39" s="27" t="s">
        <v>41</v>
      </c>
      <c r="L39" s="27" t="s">
        <v>41</v>
      </c>
      <c r="M39" s="27" t="s">
        <v>41</v>
      </c>
      <c r="N39" s="27" t="s">
        <v>41</v>
      </c>
      <c r="O39" s="27">
        <v>0.51</v>
      </c>
      <c r="P39" s="27" t="s">
        <v>41</v>
      </c>
      <c r="Q39" s="27" t="s">
        <v>41</v>
      </c>
      <c r="R39" s="27">
        <v>0.43</v>
      </c>
      <c r="S39" s="27"/>
    </row>
    <row r="40" spans="1:19" x14ac:dyDescent="0.25">
      <c r="A40" s="117">
        <v>140</v>
      </c>
      <c r="B40" s="116" t="s">
        <v>115</v>
      </c>
      <c r="C40" s="116">
        <v>2018</v>
      </c>
      <c r="D40" s="116" t="s">
        <v>116</v>
      </c>
      <c r="E40" s="11" t="s">
        <v>154</v>
      </c>
      <c r="F40" s="27" t="s">
        <v>117</v>
      </c>
      <c r="G40" s="27" t="s">
        <v>41</v>
      </c>
      <c r="H40" s="27" t="s">
        <v>41</v>
      </c>
      <c r="I40" s="27" t="s">
        <v>41</v>
      </c>
      <c r="J40" s="27">
        <v>0.56000000000000005</v>
      </c>
      <c r="K40" s="27" t="s">
        <v>41</v>
      </c>
      <c r="L40" s="27" t="s">
        <v>41</v>
      </c>
      <c r="M40" s="27" t="s">
        <v>41</v>
      </c>
      <c r="N40" s="27" t="s">
        <v>41</v>
      </c>
      <c r="O40" s="27" t="s">
        <v>41</v>
      </c>
      <c r="P40" s="27" t="s">
        <v>41</v>
      </c>
      <c r="Q40" s="27" t="s">
        <v>41</v>
      </c>
      <c r="R40" s="27" t="s">
        <v>41</v>
      </c>
      <c r="S40" s="27"/>
    </row>
    <row r="41" spans="1:19" x14ac:dyDescent="0.25">
      <c r="A41" s="23">
        <v>164</v>
      </c>
      <c r="B41" s="23" t="s">
        <v>118</v>
      </c>
      <c r="C41" s="23">
        <v>2017</v>
      </c>
      <c r="D41" s="23" t="s">
        <v>119</v>
      </c>
      <c r="E41" s="24" t="s">
        <v>120</v>
      </c>
      <c r="F41" s="23" t="s">
        <v>121</v>
      </c>
      <c r="G41" s="23" t="s">
        <v>41</v>
      </c>
      <c r="H41" s="23" t="s">
        <v>41</v>
      </c>
      <c r="I41" s="23" t="s">
        <v>41</v>
      </c>
      <c r="J41" s="23">
        <v>0.36</v>
      </c>
      <c r="K41" s="23" t="s">
        <v>41</v>
      </c>
      <c r="L41" s="23" t="s">
        <v>41</v>
      </c>
      <c r="M41" s="23" t="s">
        <v>41</v>
      </c>
      <c r="N41" s="23" t="s">
        <v>41</v>
      </c>
      <c r="O41" s="23" t="s">
        <v>41</v>
      </c>
      <c r="P41" s="23" t="s">
        <v>41</v>
      </c>
      <c r="Q41" s="23" t="s">
        <v>41</v>
      </c>
      <c r="R41" s="23" t="s">
        <v>41</v>
      </c>
      <c r="S41" s="23"/>
    </row>
    <row r="42" spans="1:19" x14ac:dyDescent="0.25">
      <c r="A42" s="23">
        <v>164</v>
      </c>
      <c r="B42" s="23" t="s">
        <v>118</v>
      </c>
      <c r="C42" s="23">
        <v>2017</v>
      </c>
      <c r="D42" s="23" t="s">
        <v>119</v>
      </c>
      <c r="E42" s="24" t="s">
        <v>120</v>
      </c>
      <c r="F42" s="23" t="s">
        <v>122</v>
      </c>
      <c r="G42" s="23" t="s">
        <v>41</v>
      </c>
      <c r="H42" s="23" t="s">
        <v>41</v>
      </c>
      <c r="I42" s="23" t="s">
        <v>41</v>
      </c>
      <c r="J42" s="23">
        <v>0.48</v>
      </c>
      <c r="K42" s="23" t="s">
        <v>41</v>
      </c>
      <c r="L42" s="23" t="s">
        <v>41</v>
      </c>
      <c r="M42" s="23" t="s">
        <v>41</v>
      </c>
      <c r="N42" s="23" t="s">
        <v>41</v>
      </c>
      <c r="O42" s="23" t="s">
        <v>41</v>
      </c>
      <c r="P42" s="23" t="s">
        <v>41</v>
      </c>
      <c r="Q42" s="23" t="s">
        <v>41</v>
      </c>
      <c r="R42" s="23" t="s">
        <v>41</v>
      </c>
      <c r="S42" s="23"/>
    </row>
    <row r="43" spans="1:19" s="1" customFormat="1" x14ac:dyDescent="0.25">
      <c r="A43" s="31">
        <v>129</v>
      </c>
      <c r="B43" s="31" t="s">
        <v>123</v>
      </c>
      <c r="C43" s="31">
        <v>2021</v>
      </c>
      <c r="D43" s="31" t="s">
        <v>124</v>
      </c>
      <c r="E43" s="11" t="s">
        <v>125</v>
      </c>
      <c r="F43" s="27" t="s">
        <v>126</v>
      </c>
      <c r="G43" s="27" t="s">
        <v>41</v>
      </c>
      <c r="H43" s="27" t="s">
        <v>41</v>
      </c>
      <c r="I43" s="27" t="s">
        <v>41</v>
      </c>
      <c r="J43" s="27">
        <v>0.38</v>
      </c>
      <c r="K43" s="27" t="s">
        <v>41</v>
      </c>
      <c r="L43" s="27" t="s">
        <v>41</v>
      </c>
      <c r="M43" s="27" t="s">
        <v>41</v>
      </c>
      <c r="N43" s="27" t="s">
        <v>41</v>
      </c>
      <c r="O43" s="27" t="s">
        <v>41</v>
      </c>
      <c r="P43" s="27" t="s">
        <v>41</v>
      </c>
      <c r="Q43" s="27" t="s">
        <v>41</v>
      </c>
      <c r="R43" s="27" t="s">
        <v>41</v>
      </c>
      <c r="S43" s="27" t="s">
        <v>40</v>
      </c>
    </row>
    <row r="44" spans="1:19" x14ac:dyDescent="0.25">
      <c r="A44" s="117">
        <v>147</v>
      </c>
      <c r="B44" s="116" t="s">
        <v>130</v>
      </c>
      <c r="C44" s="116">
        <v>2021</v>
      </c>
      <c r="D44" s="116" t="s">
        <v>131</v>
      </c>
      <c r="E44" s="11" t="s">
        <v>155</v>
      </c>
      <c r="F44" s="27" t="s">
        <v>129</v>
      </c>
      <c r="G44" s="27" t="s">
        <v>41</v>
      </c>
      <c r="H44" s="27" t="s">
        <v>41</v>
      </c>
      <c r="I44" s="27">
        <v>0.08</v>
      </c>
      <c r="J44" s="27">
        <v>0.26</v>
      </c>
      <c r="K44" s="27" t="s">
        <v>41</v>
      </c>
      <c r="L44" s="27" t="s">
        <v>41</v>
      </c>
      <c r="M44" s="27" t="s">
        <v>41</v>
      </c>
      <c r="N44" s="27" t="s">
        <v>41</v>
      </c>
      <c r="O44" s="27" t="s">
        <v>41</v>
      </c>
      <c r="P44" s="27" t="s">
        <v>41</v>
      </c>
      <c r="Q44" s="27">
        <v>7.0000000000000007E-2</v>
      </c>
      <c r="R44" s="27">
        <v>0.15</v>
      </c>
      <c r="S44" s="27" t="s">
        <v>40</v>
      </c>
    </row>
    <row r="45" spans="1:19" x14ac:dyDescent="0.25">
      <c r="A45" s="117">
        <v>150</v>
      </c>
      <c r="B45" s="116" t="s">
        <v>132</v>
      </c>
      <c r="C45" s="116">
        <v>2021</v>
      </c>
      <c r="D45" s="116" t="s">
        <v>133</v>
      </c>
      <c r="E45" s="11" t="s">
        <v>156</v>
      </c>
      <c r="F45" s="27" t="s">
        <v>129</v>
      </c>
      <c r="G45" s="27">
        <v>0.16</v>
      </c>
      <c r="H45" s="27" t="s">
        <v>41</v>
      </c>
      <c r="I45" s="27">
        <v>0.16</v>
      </c>
      <c r="J45" s="27">
        <v>0.17</v>
      </c>
      <c r="K45" s="27" t="s">
        <v>41</v>
      </c>
      <c r="L45" s="27" t="s">
        <v>41</v>
      </c>
      <c r="M45" s="27" t="s">
        <v>41</v>
      </c>
      <c r="N45" s="27" t="s">
        <v>41</v>
      </c>
      <c r="O45" s="27" t="s">
        <v>41</v>
      </c>
      <c r="P45" s="27" t="s">
        <v>41</v>
      </c>
      <c r="Q45" s="27" t="s">
        <v>41</v>
      </c>
      <c r="R45" s="27" t="s">
        <v>41</v>
      </c>
      <c r="S45" s="27" t="s">
        <v>134</v>
      </c>
    </row>
    <row r="46" spans="1:19" x14ac:dyDescent="0.25">
      <c r="A46" s="31">
        <v>162</v>
      </c>
      <c r="B46" s="30" t="s">
        <v>127</v>
      </c>
      <c r="C46" s="30">
        <v>2021</v>
      </c>
      <c r="D46" s="30" t="s">
        <v>128</v>
      </c>
      <c r="E46" s="11" t="s">
        <v>157</v>
      </c>
      <c r="F46" s="27" t="s">
        <v>129</v>
      </c>
      <c r="G46" s="27" t="s">
        <v>41</v>
      </c>
      <c r="H46" s="27" t="s">
        <v>41</v>
      </c>
      <c r="I46" s="27">
        <v>0.17</v>
      </c>
      <c r="J46" s="27">
        <v>0.23</v>
      </c>
      <c r="K46" s="27" t="s">
        <v>41</v>
      </c>
      <c r="L46" s="27" t="s">
        <v>41</v>
      </c>
      <c r="M46" s="27" t="s">
        <v>41</v>
      </c>
      <c r="N46" s="27" t="s">
        <v>41</v>
      </c>
      <c r="O46" s="27" t="s">
        <v>41</v>
      </c>
      <c r="P46" s="27" t="s">
        <v>41</v>
      </c>
      <c r="Q46" s="27">
        <v>0.19</v>
      </c>
      <c r="R46" s="27">
        <v>0.16</v>
      </c>
      <c r="S46" s="27" t="s">
        <v>40</v>
      </c>
    </row>
    <row r="47" spans="1:19" x14ac:dyDescent="0.25">
      <c r="A47" s="24">
        <v>158</v>
      </c>
      <c r="B47" s="23" t="s">
        <v>135</v>
      </c>
      <c r="C47" s="23">
        <v>2021</v>
      </c>
      <c r="D47" s="23" t="s">
        <v>136</v>
      </c>
      <c r="E47" s="40" t="s">
        <v>158</v>
      </c>
      <c r="F47" s="28" t="s">
        <v>137</v>
      </c>
      <c r="G47" s="28" t="s">
        <v>41</v>
      </c>
      <c r="H47" s="28" t="s">
        <v>41</v>
      </c>
      <c r="I47" s="28">
        <v>0.187</v>
      </c>
      <c r="J47" s="28">
        <v>0.34899999999999998</v>
      </c>
      <c r="K47" s="28" t="s">
        <v>41</v>
      </c>
      <c r="L47" s="28" t="s">
        <v>41</v>
      </c>
      <c r="M47" s="28" t="s">
        <v>41</v>
      </c>
      <c r="N47" s="28" t="s">
        <v>41</v>
      </c>
      <c r="O47" s="28" t="s">
        <v>41</v>
      </c>
      <c r="P47" s="28" t="s">
        <v>41</v>
      </c>
      <c r="Q47" s="28" t="s">
        <v>41</v>
      </c>
      <c r="R47" s="28" t="s">
        <v>41</v>
      </c>
      <c r="S47" s="28"/>
    </row>
    <row r="48" spans="1:19" x14ac:dyDescent="0.25">
      <c r="A48" s="23">
        <v>158</v>
      </c>
      <c r="B48" s="23" t="s">
        <v>135</v>
      </c>
      <c r="C48" s="23">
        <v>2021</v>
      </c>
      <c r="D48" s="23" t="s">
        <v>136</v>
      </c>
      <c r="E48" s="34" t="s">
        <v>158</v>
      </c>
      <c r="F48" s="28" t="s">
        <v>138</v>
      </c>
      <c r="G48" s="28" t="s">
        <v>41</v>
      </c>
      <c r="H48" s="28" t="s">
        <v>41</v>
      </c>
      <c r="I48" s="28">
        <v>0.35</v>
      </c>
      <c r="J48" s="28">
        <v>0.442</v>
      </c>
      <c r="K48" s="28" t="s">
        <v>41</v>
      </c>
      <c r="L48" s="28" t="s">
        <v>41</v>
      </c>
      <c r="M48" s="28" t="s">
        <v>41</v>
      </c>
      <c r="N48" s="28" t="s">
        <v>41</v>
      </c>
      <c r="O48" s="28" t="s">
        <v>41</v>
      </c>
      <c r="P48" s="28" t="s">
        <v>41</v>
      </c>
      <c r="Q48" s="28" t="s">
        <v>41</v>
      </c>
      <c r="R48" s="28" t="s">
        <v>41</v>
      </c>
      <c r="S48" s="28"/>
    </row>
    <row r="49" spans="1:19" x14ac:dyDescent="0.25">
      <c r="A49" s="23">
        <v>158</v>
      </c>
      <c r="B49" s="23" t="s">
        <v>135</v>
      </c>
      <c r="C49" s="23">
        <v>2021</v>
      </c>
      <c r="D49" s="23" t="s">
        <v>136</v>
      </c>
      <c r="E49" s="34" t="s">
        <v>158</v>
      </c>
      <c r="F49" s="28" t="s">
        <v>139</v>
      </c>
      <c r="G49" s="28" t="s">
        <v>41</v>
      </c>
      <c r="H49" s="28" t="s">
        <v>41</v>
      </c>
      <c r="I49" s="28">
        <v>0.34</v>
      </c>
      <c r="J49" s="28">
        <v>0.65400000000000003</v>
      </c>
      <c r="K49" s="28" t="s">
        <v>41</v>
      </c>
      <c r="L49" s="28" t="s">
        <v>41</v>
      </c>
      <c r="M49" s="28" t="s">
        <v>41</v>
      </c>
      <c r="N49" s="28" t="s">
        <v>41</v>
      </c>
      <c r="O49" s="28" t="s">
        <v>41</v>
      </c>
      <c r="P49" s="28" t="s">
        <v>41</v>
      </c>
      <c r="Q49" s="28" t="s">
        <v>41</v>
      </c>
      <c r="R49" s="28" t="s">
        <v>41</v>
      </c>
      <c r="S49" s="28"/>
    </row>
    <row r="50" spans="1:19" x14ac:dyDescent="0.25">
      <c r="A50" s="32">
        <v>139</v>
      </c>
      <c r="B50" s="32" t="s">
        <v>140</v>
      </c>
      <c r="C50" s="32">
        <v>2018</v>
      </c>
      <c r="D50" s="32" t="s">
        <v>141</v>
      </c>
      <c r="E50" s="38" t="s">
        <v>159</v>
      </c>
      <c r="F50" s="36" t="s">
        <v>142</v>
      </c>
      <c r="G50" s="36" t="s">
        <v>41</v>
      </c>
      <c r="H50" s="36" t="s">
        <v>41</v>
      </c>
      <c r="I50" s="36" t="s">
        <v>41</v>
      </c>
      <c r="J50" s="36">
        <v>0.36</v>
      </c>
      <c r="K50" s="36" t="s">
        <v>41</v>
      </c>
      <c r="L50" s="36" t="s">
        <v>41</v>
      </c>
      <c r="M50" s="36" t="s">
        <v>41</v>
      </c>
      <c r="N50" s="36" t="s">
        <v>41</v>
      </c>
      <c r="O50" s="36" t="s">
        <v>41</v>
      </c>
      <c r="P50" s="36" t="s">
        <v>41</v>
      </c>
      <c r="Q50" s="36" t="s">
        <v>41</v>
      </c>
      <c r="R50" s="36" t="s">
        <v>41</v>
      </c>
      <c r="S50" s="36"/>
    </row>
    <row r="51" spans="1:19" s="55" customFormat="1" x14ac:dyDescent="0.25">
      <c r="A51" s="32">
        <v>139</v>
      </c>
      <c r="B51" s="32" t="s">
        <v>140</v>
      </c>
      <c r="C51" s="32">
        <v>2018</v>
      </c>
      <c r="D51" s="32" t="s">
        <v>141</v>
      </c>
      <c r="E51" s="33" t="s">
        <v>159</v>
      </c>
      <c r="F51" s="36" t="s">
        <v>143</v>
      </c>
      <c r="G51" s="36" t="s">
        <v>41</v>
      </c>
      <c r="H51" s="36" t="s">
        <v>41</v>
      </c>
      <c r="I51" s="36" t="s">
        <v>41</v>
      </c>
      <c r="J51" s="36">
        <v>0.5</v>
      </c>
      <c r="K51" s="36" t="s">
        <v>41</v>
      </c>
      <c r="L51" s="36" t="s">
        <v>41</v>
      </c>
      <c r="M51" s="36" t="s">
        <v>41</v>
      </c>
      <c r="N51" s="36" t="s">
        <v>41</v>
      </c>
      <c r="O51" s="36" t="s">
        <v>41</v>
      </c>
      <c r="P51" s="36" t="s">
        <v>41</v>
      </c>
      <c r="Q51" s="36" t="s">
        <v>41</v>
      </c>
      <c r="R51" s="36" t="s">
        <v>41</v>
      </c>
      <c r="S51" s="36"/>
    </row>
    <row r="52" spans="1:19" x14ac:dyDescent="0.25">
      <c r="A52" s="31">
        <v>86</v>
      </c>
      <c r="B52" s="30" t="s">
        <v>144</v>
      </c>
      <c r="C52" s="30">
        <v>2020</v>
      </c>
      <c r="D52" s="30" t="s">
        <v>145</v>
      </c>
      <c r="E52" s="11" t="s">
        <v>160</v>
      </c>
      <c r="F52" s="27" t="s">
        <v>146</v>
      </c>
      <c r="G52" s="27">
        <v>0.5</v>
      </c>
      <c r="H52" s="27" t="s">
        <v>41</v>
      </c>
      <c r="I52" s="27" t="s">
        <v>41</v>
      </c>
      <c r="J52" s="27">
        <v>0.6</v>
      </c>
      <c r="K52" s="27" t="s">
        <v>41</v>
      </c>
      <c r="L52" s="27" t="s">
        <v>41</v>
      </c>
      <c r="M52" s="27" t="s">
        <v>41</v>
      </c>
      <c r="N52" s="27" t="s">
        <v>41</v>
      </c>
      <c r="O52" s="27" t="s">
        <v>41</v>
      </c>
      <c r="P52" s="27" t="s">
        <v>41</v>
      </c>
      <c r="Q52" s="27" t="s">
        <v>41</v>
      </c>
      <c r="R52" s="27" t="s">
        <v>41</v>
      </c>
      <c r="S52" s="27" t="s">
        <v>40</v>
      </c>
    </row>
    <row r="53" spans="1:19" x14ac:dyDescent="0.25">
      <c r="A53" s="31">
        <v>124</v>
      </c>
      <c r="B53" s="30" t="s">
        <v>147</v>
      </c>
      <c r="C53" s="30">
        <v>2015</v>
      </c>
      <c r="D53" s="30" t="s">
        <v>148</v>
      </c>
      <c r="E53" s="11" t="s">
        <v>149</v>
      </c>
      <c r="F53" s="27" t="s">
        <v>150</v>
      </c>
      <c r="G53" s="27" t="s">
        <v>41</v>
      </c>
      <c r="H53" s="27" t="s">
        <v>41</v>
      </c>
      <c r="I53" s="27" t="s">
        <v>41</v>
      </c>
      <c r="J53" s="27">
        <v>0.83</v>
      </c>
      <c r="K53" s="27" t="s">
        <v>41</v>
      </c>
      <c r="L53" s="27" t="s">
        <v>41</v>
      </c>
      <c r="M53" s="27" t="s">
        <v>41</v>
      </c>
      <c r="N53" s="27" t="s">
        <v>41</v>
      </c>
      <c r="O53" s="27" t="s">
        <v>41</v>
      </c>
      <c r="P53" s="27" t="s">
        <v>41</v>
      </c>
      <c r="Q53" s="27" t="s">
        <v>41</v>
      </c>
      <c r="R53" s="27">
        <v>0.62</v>
      </c>
      <c r="S53" s="27"/>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6BF84-0E80-4F5A-9A77-0F0485CC4691}">
  <dimension ref="A1:O4"/>
  <sheetViews>
    <sheetView workbookViewId="0">
      <selection activeCell="B4" sqref="B4"/>
    </sheetView>
  </sheetViews>
  <sheetFormatPr defaultRowHeight="15" x14ac:dyDescent="0.25"/>
  <cols>
    <col min="5" max="5" width="38.28515625" customWidth="1"/>
  </cols>
  <sheetData>
    <row r="1" spans="1:15" x14ac:dyDescent="0.25">
      <c r="F1" s="119" t="s">
        <v>187</v>
      </c>
      <c r="G1" s="119"/>
      <c r="H1" s="119"/>
      <c r="I1" s="119"/>
    </row>
    <row r="2" spans="1:15" s="1" customFormat="1" ht="60" x14ac:dyDescent="0.25">
      <c r="A2" s="59" t="s">
        <v>29</v>
      </c>
      <c r="B2" s="59" t="s">
        <v>30</v>
      </c>
      <c r="C2" s="59" t="s">
        <v>31</v>
      </c>
      <c r="D2" s="59" t="s">
        <v>32</v>
      </c>
      <c r="E2" s="59" t="s">
        <v>43</v>
      </c>
      <c r="F2" s="59" t="s">
        <v>78</v>
      </c>
      <c r="G2" s="59" t="s">
        <v>79</v>
      </c>
      <c r="H2" s="59" t="s">
        <v>80</v>
      </c>
      <c r="I2" s="59" t="s">
        <v>81</v>
      </c>
      <c r="J2" s="59" t="s">
        <v>39</v>
      </c>
      <c r="K2" s="59" t="s">
        <v>178</v>
      </c>
      <c r="L2" s="59" t="s">
        <v>180</v>
      </c>
      <c r="M2" s="59" t="s">
        <v>183</v>
      </c>
      <c r="N2" s="59" t="s">
        <v>181</v>
      </c>
      <c r="O2" s="59" t="s">
        <v>182</v>
      </c>
    </row>
    <row r="3" spans="1:15" x14ac:dyDescent="0.25">
      <c r="A3" s="60">
        <v>20</v>
      </c>
      <c r="B3" s="60" t="s">
        <v>27</v>
      </c>
      <c r="C3" s="60">
        <v>2021</v>
      </c>
      <c r="D3" s="60" t="s">
        <v>28</v>
      </c>
      <c r="E3" s="60" t="s">
        <v>50</v>
      </c>
      <c r="F3" s="60" t="s">
        <v>41</v>
      </c>
      <c r="G3" s="60" t="s">
        <v>41</v>
      </c>
      <c r="H3" s="62">
        <v>0.59899999999999998</v>
      </c>
      <c r="I3" s="62">
        <v>0.58799999999999997</v>
      </c>
      <c r="J3" s="60" t="s">
        <v>51</v>
      </c>
      <c r="K3" s="60" t="s">
        <v>179</v>
      </c>
      <c r="L3" s="60" t="s">
        <v>184</v>
      </c>
      <c r="M3" s="62">
        <v>30.9</v>
      </c>
      <c r="N3" s="60">
        <v>309</v>
      </c>
      <c r="O3" s="60">
        <v>10</v>
      </c>
    </row>
    <row r="4" spans="1:15" s="55" customFormat="1" x14ac:dyDescent="0.25">
      <c r="A4" s="61">
        <v>139</v>
      </c>
      <c r="B4" s="61" t="s">
        <v>140</v>
      </c>
      <c r="C4" s="61">
        <v>2018</v>
      </c>
      <c r="D4" s="61" t="s">
        <v>141</v>
      </c>
      <c r="E4" s="61" t="s">
        <v>143</v>
      </c>
      <c r="F4" s="61" t="s">
        <v>41</v>
      </c>
      <c r="G4" s="61" t="s">
        <v>41</v>
      </c>
      <c r="H4" s="61" t="s">
        <v>41</v>
      </c>
      <c r="I4" s="62">
        <v>0.5</v>
      </c>
      <c r="J4" s="61"/>
      <c r="K4" s="61" t="s">
        <v>185</v>
      </c>
      <c r="L4" s="61" t="s">
        <v>186</v>
      </c>
      <c r="M4" s="62">
        <v>2</v>
      </c>
      <c r="N4" s="61"/>
      <c r="O4" s="61"/>
    </row>
  </sheetData>
  <mergeCells count="1">
    <mergeCell ref="F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4A7A1-5AE2-4D65-91A0-1E6C5A828392}">
  <dimension ref="A1:M8"/>
  <sheetViews>
    <sheetView workbookViewId="0">
      <selection activeCell="J14" sqref="J14"/>
    </sheetView>
  </sheetViews>
  <sheetFormatPr defaultRowHeight="15" x14ac:dyDescent="0.25"/>
  <cols>
    <col min="1" max="1" width="10.140625" style="2" customWidth="1"/>
    <col min="2" max="9" width="10.140625" customWidth="1"/>
    <col min="10" max="10" width="10.85546875" bestFit="1" customWidth="1"/>
    <col min="11" max="11" width="10.7109375" customWidth="1"/>
    <col min="12" max="12" width="11.7109375" customWidth="1"/>
    <col min="13" max="13" width="16.42578125" customWidth="1"/>
    <col min="15" max="15" width="15.5703125" bestFit="1" customWidth="1"/>
  </cols>
  <sheetData>
    <row r="1" spans="1:13" x14ac:dyDescent="0.25">
      <c r="A1" s="2" t="s">
        <v>213</v>
      </c>
    </row>
    <row r="2" spans="1:13" x14ac:dyDescent="0.25">
      <c r="A2" s="124" t="s">
        <v>214</v>
      </c>
      <c r="B2" s="125"/>
      <c r="C2" s="125"/>
      <c r="D2" s="125"/>
      <c r="E2" s="125"/>
      <c r="F2" s="125"/>
      <c r="G2" s="125"/>
      <c r="H2" s="125"/>
      <c r="I2" s="125"/>
      <c r="J2" s="125"/>
      <c r="K2" s="125"/>
      <c r="L2" s="125"/>
      <c r="M2" s="125"/>
    </row>
    <row r="3" spans="1:13" s="56" customFormat="1" ht="60" x14ac:dyDescent="0.25">
      <c r="A3" s="104" t="s">
        <v>215</v>
      </c>
      <c r="B3" s="104" t="s">
        <v>216</v>
      </c>
      <c r="C3" s="104" t="s">
        <v>217</v>
      </c>
      <c r="D3" s="104" t="s">
        <v>218</v>
      </c>
      <c r="E3" s="104" t="s">
        <v>219</v>
      </c>
      <c r="F3" s="104" t="s">
        <v>220</v>
      </c>
      <c r="G3" s="104" t="s">
        <v>221</v>
      </c>
      <c r="H3" s="104" t="s">
        <v>176</v>
      </c>
      <c r="I3" s="104" t="s">
        <v>222</v>
      </c>
      <c r="J3" s="104" t="s">
        <v>223</v>
      </c>
      <c r="K3" s="105" t="s">
        <v>224</v>
      </c>
      <c r="L3" s="104" t="s">
        <v>225</v>
      </c>
      <c r="M3" s="105" t="s">
        <v>226</v>
      </c>
    </row>
    <row r="4" spans="1:13" x14ac:dyDescent="0.25">
      <c r="A4" s="45" t="s">
        <v>173</v>
      </c>
      <c r="B4" s="45" t="s">
        <v>227</v>
      </c>
      <c r="C4" s="8">
        <v>0.04</v>
      </c>
      <c r="D4" s="106">
        <v>0.997</v>
      </c>
      <c r="E4" s="8">
        <v>309</v>
      </c>
      <c r="F4" s="8">
        <v>0.04</v>
      </c>
      <c r="G4" s="8">
        <v>0.39</v>
      </c>
      <c r="H4" s="8">
        <v>0.88</v>
      </c>
      <c r="I4" s="8">
        <v>1.98</v>
      </c>
      <c r="J4" s="8">
        <v>25.78</v>
      </c>
      <c r="K4" s="107">
        <f>H4</f>
        <v>0.88</v>
      </c>
      <c r="L4" s="8">
        <f>EXP(LN(K4)+(1.644854*(LN(I4/G4)/(2*0.6744898))))</f>
        <v>6.3803432837382639</v>
      </c>
      <c r="M4" s="107">
        <f>EXP((LN(L4/K4))/1.644854)</f>
        <v>3.3347436667024035</v>
      </c>
    </row>
    <row r="5" spans="1:13" x14ac:dyDescent="0.25">
      <c r="A5" s="45" t="s">
        <v>172</v>
      </c>
      <c r="B5" s="45" t="s">
        <v>227</v>
      </c>
      <c r="C5" s="8">
        <v>0.05</v>
      </c>
      <c r="D5" s="106">
        <v>0.66300000000000003</v>
      </c>
      <c r="E5" s="8">
        <v>309</v>
      </c>
      <c r="F5" s="8">
        <v>0.03</v>
      </c>
      <c r="G5" s="8">
        <v>0.03</v>
      </c>
      <c r="H5" s="8">
        <v>0.11</v>
      </c>
      <c r="I5" s="8">
        <v>0.23</v>
      </c>
      <c r="J5" s="8">
        <v>4.58</v>
      </c>
      <c r="K5" s="107">
        <f>H5</f>
        <v>0.11</v>
      </c>
      <c r="L5" s="8">
        <f>EXP(LN(K5)+(1.644854*(LN(I5/G5)/(2*0.6744898))))</f>
        <v>1.3183229159208314</v>
      </c>
      <c r="M5" s="107">
        <f>EXP((LN(L5/K5))/1.644854)</f>
        <v>4.5264715133267304</v>
      </c>
    </row>
    <row r="6" spans="1:13" x14ac:dyDescent="0.25">
      <c r="A6" t="s">
        <v>228</v>
      </c>
      <c r="B6" s="2"/>
      <c r="D6" s="108"/>
    </row>
    <row r="7" spans="1:13" x14ac:dyDescent="0.25">
      <c r="A7" s="109" t="s">
        <v>229</v>
      </c>
      <c r="B7" s="2"/>
      <c r="D7" s="108"/>
    </row>
    <row r="8" spans="1:13" x14ac:dyDescent="0.25">
      <c r="A8" s="109" t="s">
        <v>230</v>
      </c>
      <c r="B8" s="2"/>
      <c r="C8" s="110"/>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B562D-3C73-4169-92FB-8AC0E4C54F73}">
  <dimension ref="A1:O21"/>
  <sheetViews>
    <sheetView zoomScaleNormal="100" workbookViewId="0">
      <selection activeCell="G27" sqref="G27"/>
    </sheetView>
  </sheetViews>
  <sheetFormatPr defaultColWidth="11.7109375" defaultRowHeight="15.75" x14ac:dyDescent="0.25"/>
  <cols>
    <col min="1" max="1" width="17" style="68" customWidth="1"/>
    <col min="2" max="2" width="11.7109375" style="68"/>
    <col min="3" max="3" width="17.28515625" style="68" bestFit="1" customWidth="1"/>
    <col min="4" max="16384" width="11.7109375" style="68"/>
  </cols>
  <sheetData>
    <row r="1" spans="1:15" ht="26.25" thickBot="1" x14ac:dyDescent="0.4">
      <c r="A1" s="63" t="s">
        <v>212</v>
      </c>
      <c r="B1" s="64"/>
      <c r="C1" s="64"/>
      <c r="D1" s="65"/>
      <c r="E1" s="65"/>
      <c r="F1" s="66"/>
      <c r="G1" s="67"/>
      <c r="I1" s="69"/>
      <c r="J1" s="69"/>
      <c r="K1" s="70"/>
      <c r="L1" s="70"/>
      <c r="M1" s="70"/>
      <c r="N1" s="70"/>
      <c r="O1" s="69"/>
    </row>
    <row r="2" spans="1:15" ht="19.5" thickBot="1" x14ac:dyDescent="0.35">
      <c r="A2" s="71"/>
      <c r="B2" s="69"/>
      <c r="C2" s="69"/>
      <c r="D2" s="70"/>
      <c r="E2" s="70"/>
      <c r="F2" s="70"/>
      <c r="G2" s="70"/>
      <c r="H2" s="69"/>
      <c r="I2" s="69"/>
      <c r="J2" s="69"/>
      <c r="K2" s="70"/>
      <c r="L2" s="70"/>
      <c r="M2" s="70"/>
      <c r="N2" s="70"/>
      <c r="O2" s="69"/>
    </row>
    <row r="3" spans="1:15" ht="19.5" thickBot="1" x14ac:dyDescent="0.35">
      <c r="A3" s="72" t="s">
        <v>188</v>
      </c>
      <c r="B3" s="69"/>
      <c r="C3" s="73" t="s">
        <v>189</v>
      </c>
      <c r="D3" s="74">
        <v>0.69</v>
      </c>
      <c r="F3" s="70"/>
      <c r="G3" s="69"/>
      <c r="H3" s="69"/>
      <c r="I3" s="69"/>
      <c r="J3" s="70"/>
      <c r="K3" s="70"/>
      <c r="L3" s="70"/>
      <c r="M3" s="70"/>
      <c r="N3" s="69"/>
    </row>
    <row r="4" spans="1:15" ht="19.5" thickBot="1" x14ac:dyDescent="0.35">
      <c r="A4" s="75" t="s">
        <v>190</v>
      </c>
      <c r="B4" s="69"/>
      <c r="C4" s="103" t="s">
        <v>191</v>
      </c>
      <c r="D4" s="127">
        <v>2.4606449703457201</v>
      </c>
      <c r="F4" s="70"/>
      <c r="G4" s="70"/>
      <c r="H4" s="69"/>
      <c r="I4" s="69"/>
      <c r="J4" s="69"/>
      <c r="K4" s="70"/>
      <c r="L4" s="70"/>
      <c r="M4" s="70"/>
      <c r="N4" s="70"/>
      <c r="O4" s="69"/>
    </row>
    <row r="5" spans="1:15" ht="17.45" customHeight="1" thickBot="1" x14ac:dyDescent="0.35">
      <c r="A5" s="100" t="s">
        <v>211</v>
      </c>
      <c r="B5" s="69"/>
      <c r="C5" s="98"/>
      <c r="D5" s="101"/>
      <c r="F5" s="70"/>
      <c r="G5" s="70"/>
      <c r="H5" s="69"/>
      <c r="I5" s="69"/>
      <c r="J5" s="69"/>
      <c r="K5" s="70"/>
      <c r="L5" s="70"/>
      <c r="M5" s="70"/>
      <c r="N5" s="70"/>
      <c r="O5" s="69"/>
    </row>
    <row r="6" spans="1:15" ht="16.5" thickBot="1" x14ac:dyDescent="0.3">
      <c r="A6" s="69"/>
      <c r="B6" s="69"/>
      <c r="C6" s="70"/>
      <c r="D6" s="70"/>
      <c r="F6" s="70"/>
      <c r="G6" s="70"/>
      <c r="H6" s="70"/>
      <c r="I6" s="70"/>
      <c r="J6" s="70"/>
      <c r="K6" s="70"/>
      <c r="L6" s="70"/>
      <c r="M6" s="70"/>
      <c r="N6" s="70"/>
      <c r="O6" s="69"/>
    </row>
    <row r="7" spans="1:15" ht="20.25" x14ac:dyDescent="0.3">
      <c r="A7" s="76"/>
      <c r="B7" s="77" t="s">
        <v>192</v>
      </c>
      <c r="C7" s="77" t="s">
        <v>193</v>
      </c>
      <c r="D7" s="77" t="s">
        <v>194</v>
      </c>
      <c r="F7" s="70"/>
      <c r="G7" s="79"/>
      <c r="H7" s="70"/>
      <c r="I7" s="70"/>
      <c r="J7" s="69"/>
      <c r="K7" s="70"/>
      <c r="L7" s="70"/>
      <c r="M7" s="70"/>
      <c r="N7" s="70"/>
      <c r="O7" s="69"/>
    </row>
    <row r="8" spans="1:15" x14ac:dyDescent="0.25">
      <c r="A8" s="80" t="s">
        <v>195</v>
      </c>
      <c r="B8" s="81">
        <f>$D$3</f>
        <v>0.69</v>
      </c>
      <c r="C8" s="81">
        <f>$D$3</f>
        <v>0.69</v>
      </c>
      <c r="D8" s="81">
        <f>$D$3</f>
        <v>0.69</v>
      </c>
      <c r="F8" s="70"/>
      <c r="G8" s="70"/>
      <c r="H8" s="70"/>
      <c r="I8" s="70"/>
      <c r="J8" s="69"/>
      <c r="K8" s="69"/>
      <c r="L8" s="69"/>
      <c r="M8" s="69"/>
      <c r="N8" s="69"/>
      <c r="O8" s="69"/>
    </row>
    <row r="9" spans="1:15" ht="16.5" thickBot="1" x14ac:dyDescent="0.3">
      <c r="A9" s="82" t="s">
        <v>196</v>
      </c>
      <c r="B9" s="83">
        <f>$D$4</f>
        <v>2.4606449703457201</v>
      </c>
      <c r="C9" s="84">
        <f>B8*(C14*(C18-C17)+C17)</f>
        <v>2.1754346942941996</v>
      </c>
      <c r="D9" s="84">
        <f>C8*(D14*(D18-D17)+D17)</f>
        <v>1.8902244182426788</v>
      </c>
      <c r="F9" s="70"/>
      <c r="G9" s="70"/>
      <c r="H9" s="70"/>
      <c r="I9" s="70"/>
      <c r="J9" s="69"/>
      <c r="K9" s="70"/>
      <c r="L9" s="69"/>
      <c r="M9" s="69"/>
      <c r="N9" s="69"/>
      <c r="O9" s="69"/>
    </row>
    <row r="10" spans="1:15" ht="16.5" thickBot="1" x14ac:dyDescent="0.3">
      <c r="A10" s="70" t="s">
        <v>197</v>
      </c>
      <c r="B10" s="85">
        <f>B8+1.64*B9</f>
        <v>4.7254577513669798</v>
      </c>
      <c r="C10" s="86">
        <f>C8+1.64*C9</f>
        <v>4.2577128986424864</v>
      </c>
      <c r="D10" s="86">
        <f>D8+1.64*D9</f>
        <v>3.789968045917993</v>
      </c>
      <c r="F10" s="70"/>
      <c r="G10" s="70"/>
      <c r="H10" s="70"/>
      <c r="I10" s="70"/>
      <c r="J10" s="69"/>
      <c r="K10" s="70"/>
      <c r="L10" s="69"/>
      <c r="M10" s="69"/>
      <c r="N10" s="69"/>
      <c r="O10" s="69"/>
    </row>
    <row r="11" spans="1:15" x14ac:dyDescent="0.25">
      <c r="A11" s="87" t="s">
        <v>198</v>
      </c>
      <c r="B11" s="88">
        <f>LN(B8)</f>
        <v>-0.37106368139083207</v>
      </c>
      <c r="C11" s="88">
        <f t="shared" ref="C11:D12" si="0">LN(C8)</f>
        <v>-0.37106368139083207</v>
      </c>
      <c r="D11" s="88">
        <f t="shared" si="0"/>
        <v>-0.37106368139083207</v>
      </c>
      <c r="F11" s="70"/>
      <c r="G11" s="70"/>
      <c r="H11" s="70"/>
      <c r="I11" s="70"/>
      <c r="J11" s="69"/>
      <c r="K11" s="70"/>
      <c r="L11" s="69"/>
      <c r="M11" s="69"/>
      <c r="N11" s="69"/>
      <c r="O11" s="69"/>
    </row>
    <row r="12" spans="1:15" ht="16.5" thickBot="1" x14ac:dyDescent="0.3">
      <c r="A12" s="82" t="s">
        <v>199</v>
      </c>
      <c r="B12" s="83">
        <f>LN(B9)</f>
        <v>0.90042349864766325</v>
      </c>
      <c r="C12" s="83">
        <f t="shared" si="0"/>
        <v>0.77722850401701804</v>
      </c>
      <c r="D12" s="83">
        <f t="shared" si="0"/>
        <v>0.63669556183347886</v>
      </c>
      <c r="F12" s="70"/>
      <c r="G12" s="70"/>
      <c r="H12" s="70"/>
      <c r="I12" s="70"/>
      <c r="J12" s="69"/>
      <c r="K12" s="70"/>
      <c r="L12" s="69"/>
      <c r="M12" s="69"/>
      <c r="N12" s="69"/>
      <c r="O12" s="69"/>
    </row>
    <row r="13" spans="1:15" ht="16.5" thickBot="1" x14ac:dyDescent="0.3">
      <c r="A13" s="70"/>
      <c r="B13" s="70"/>
      <c r="C13" s="70"/>
      <c r="D13" s="70"/>
      <c r="F13" s="70"/>
      <c r="G13" s="70"/>
      <c r="H13" s="70"/>
      <c r="I13" s="70"/>
      <c r="J13" s="69"/>
      <c r="K13" s="69"/>
      <c r="L13" s="69"/>
      <c r="M13" s="69"/>
      <c r="N13" s="69"/>
      <c r="O13" s="69"/>
    </row>
    <row r="14" spans="1:15" x14ac:dyDescent="0.25">
      <c r="A14" s="87" t="s">
        <v>200</v>
      </c>
      <c r="B14" s="89">
        <v>1</v>
      </c>
      <c r="C14" s="90">
        <v>0.5</v>
      </c>
      <c r="D14" s="78">
        <v>0</v>
      </c>
      <c r="F14" s="70"/>
      <c r="G14" s="70"/>
      <c r="H14" s="70"/>
      <c r="I14" s="70"/>
      <c r="J14" s="69"/>
      <c r="K14" s="69"/>
      <c r="L14" s="69"/>
      <c r="M14" s="69"/>
      <c r="N14" s="69"/>
      <c r="O14" s="69"/>
    </row>
    <row r="15" spans="1:15" ht="16.5" thickBot="1" x14ac:dyDescent="0.3">
      <c r="A15" s="82" t="s">
        <v>201</v>
      </c>
      <c r="B15" s="92">
        <v>2</v>
      </c>
      <c r="C15" s="92">
        <v>2</v>
      </c>
      <c r="D15" s="93">
        <v>2</v>
      </c>
      <c r="F15" s="70"/>
      <c r="G15" s="70"/>
      <c r="H15" s="70"/>
      <c r="I15" s="70"/>
      <c r="J15" s="69"/>
      <c r="K15" s="69"/>
      <c r="L15" s="69"/>
      <c r="M15" s="69"/>
      <c r="N15" s="69"/>
      <c r="O15" s="69"/>
    </row>
    <row r="16" spans="1:15" ht="16.5" thickBot="1" x14ac:dyDescent="0.3">
      <c r="A16" s="70"/>
      <c r="B16" s="91"/>
      <c r="C16" s="91"/>
      <c r="D16" s="91"/>
      <c r="F16" s="70"/>
      <c r="G16" s="70"/>
      <c r="H16" s="70"/>
      <c r="I16" s="70"/>
      <c r="J16" s="69"/>
      <c r="K16" s="69"/>
      <c r="L16" s="69"/>
      <c r="M16" s="69"/>
      <c r="N16" s="69"/>
      <c r="O16" s="69"/>
    </row>
    <row r="17" spans="1:15" x14ac:dyDescent="0.25">
      <c r="A17" s="87" t="s">
        <v>202</v>
      </c>
      <c r="B17" s="94">
        <f>EXP(LN($B$9)/SQRT(B15))/$B$8</f>
        <v>2.7394556786125781</v>
      </c>
      <c r="C17" s="94">
        <f>EXP(LN($B$9)/SQRT(C15))/$B$8</f>
        <v>2.7394556786125781</v>
      </c>
      <c r="D17" s="95">
        <f>EXP(LN($B$9)/SQRT(D15))/$B$8</f>
        <v>2.7394556786125781</v>
      </c>
      <c r="F17" s="69"/>
      <c r="G17" s="69"/>
      <c r="H17" s="69"/>
      <c r="I17" s="69"/>
      <c r="J17" s="69"/>
      <c r="K17" s="69"/>
      <c r="L17" s="69"/>
      <c r="M17" s="69"/>
      <c r="N17" s="69"/>
      <c r="O17" s="69"/>
    </row>
    <row r="18" spans="1:15" ht="16.5" thickBot="1" x14ac:dyDescent="0.3">
      <c r="A18" s="82" t="s">
        <v>203</v>
      </c>
      <c r="B18" s="96">
        <f>$B$9/$B$8</f>
        <v>3.5661521309358264</v>
      </c>
      <c r="C18" s="96">
        <f>$B$9/$B$8</f>
        <v>3.5661521309358264</v>
      </c>
      <c r="D18" s="97">
        <f>$B$9/$B$8</f>
        <v>3.5661521309358264</v>
      </c>
      <c r="F18" s="69"/>
      <c r="G18" s="69"/>
      <c r="H18" s="69"/>
      <c r="I18" s="69"/>
      <c r="J18" s="69"/>
      <c r="K18" s="69"/>
      <c r="L18" s="69"/>
      <c r="M18" s="69"/>
      <c r="N18" s="69"/>
      <c r="O18" s="69"/>
    </row>
    <row r="19" spans="1:15" x14ac:dyDescent="0.25">
      <c r="A19" s="70"/>
      <c r="B19" s="70"/>
      <c r="C19" s="70"/>
      <c r="D19" s="70"/>
      <c r="F19" s="69"/>
      <c r="G19" s="69"/>
      <c r="H19" s="69"/>
      <c r="I19" s="69"/>
      <c r="J19" s="69"/>
      <c r="K19" s="69"/>
      <c r="L19" s="69"/>
      <c r="M19" s="69"/>
      <c r="N19" s="69"/>
      <c r="O19" s="69"/>
    </row>
    <row r="21" spans="1:15" ht="16.5" thickBot="1" x14ac:dyDescent="0.3">
      <c r="A21" s="82" t="s">
        <v>242</v>
      </c>
      <c r="B21" s="83"/>
      <c r="C21" s="83">
        <f>C9/B9</f>
        <v>0.88409125270459132</v>
      </c>
      <c r="D21" s="83">
        <f>D9/B9</f>
        <v>0.76818250540918254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13A96-8725-4DC7-9674-CD6C923797FA}">
  <dimension ref="A1:O21"/>
  <sheetViews>
    <sheetView zoomScaleNormal="100" workbookViewId="0">
      <selection activeCell="P9" sqref="P9"/>
    </sheetView>
  </sheetViews>
  <sheetFormatPr defaultColWidth="11.7109375" defaultRowHeight="15.75" x14ac:dyDescent="0.25"/>
  <cols>
    <col min="1" max="1" width="17" style="68" customWidth="1"/>
    <col min="2" max="2" width="11.7109375" style="68"/>
    <col min="3" max="3" width="17.28515625" style="68" bestFit="1" customWidth="1"/>
    <col min="4" max="16384" width="11.7109375" style="68"/>
  </cols>
  <sheetData>
    <row r="1" spans="1:15" ht="26.25" thickBot="1" x14ac:dyDescent="0.4">
      <c r="A1" s="63" t="s">
        <v>204</v>
      </c>
      <c r="B1" s="64"/>
      <c r="C1" s="64"/>
      <c r="D1" s="65"/>
      <c r="E1" s="65"/>
      <c r="F1" s="66"/>
      <c r="G1" s="67"/>
      <c r="I1" s="69"/>
      <c r="J1" s="69"/>
      <c r="K1" s="70"/>
      <c r="L1" s="70"/>
      <c r="M1" s="70"/>
      <c r="N1" s="70"/>
      <c r="O1" s="69"/>
    </row>
    <row r="2" spans="1:15" ht="19.5" thickBot="1" x14ac:dyDescent="0.35">
      <c r="A2" s="71"/>
      <c r="B2" s="69"/>
      <c r="C2" s="69"/>
      <c r="D2" s="70"/>
      <c r="E2" s="70"/>
      <c r="F2" s="70"/>
      <c r="G2" s="70"/>
      <c r="H2" s="69"/>
      <c r="I2" s="69"/>
      <c r="J2" s="69"/>
      <c r="K2" s="70"/>
      <c r="L2" s="70"/>
      <c r="M2" s="70"/>
      <c r="N2" s="70"/>
      <c r="O2" s="69"/>
    </row>
    <row r="3" spans="1:15" ht="19.5" thickBot="1" x14ac:dyDescent="0.35">
      <c r="A3" s="72" t="s">
        <v>188</v>
      </c>
      <c r="B3" s="69"/>
      <c r="C3" s="102" t="s">
        <v>189</v>
      </c>
      <c r="D3" s="128">
        <v>0.88</v>
      </c>
      <c r="F3" s="70"/>
      <c r="G3" s="70"/>
      <c r="H3" s="69"/>
      <c r="I3" s="69"/>
      <c r="J3" s="69"/>
      <c r="K3" s="70"/>
      <c r="L3" s="70"/>
      <c r="M3" s="70"/>
      <c r="N3" s="70"/>
      <c r="O3" s="69"/>
    </row>
    <row r="4" spans="1:15" ht="19.5" thickBot="1" x14ac:dyDescent="0.35">
      <c r="A4" s="75" t="s">
        <v>190</v>
      </c>
      <c r="B4" s="69"/>
      <c r="C4" s="103" t="s">
        <v>191</v>
      </c>
      <c r="D4" s="127">
        <v>3.3347436667024035</v>
      </c>
      <c r="F4" s="70"/>
      <c r="G4" s="70"/>
      <c r="H4" s="69"/>
      <c r="I4" s="69"/>
      <c r="J4" s="69"/>
      <c r="K4" s="70"/>
      <c r="L4" s="70"/>
      <c r="M4" s="70"/>
      <c r="N4" s="70"/>
      <c r="O4" s="69"/>
    </row>
    <row r="5" spans="1:15" ht="17.45" customHeight="1" thickBot="1" x14ac:dyDescent="0.35">
      <c r="A5" s="100" t="s">
        <v>211</v>
      </c>
      <c r="B5" s="69"/>
      <c r="C5" s="98"/>
      <c r="D5" s="101"/>
      <c r="F5" s="70"/>
      <c r="G5" s="70"/>
      <c r="H5" s="69"/>
      <c r="I5" s="69"/>
      <c r="J5" s="69"/>
      <c r="K5" s="70"/>
      <c r="L5" s="70"/>
      <c r="M5" s="70"/>
      <c r="N5" s="70"/>
      <c r="O5" s="69"/>
    </row>
    <row r="6" spans="1:15" ht="16.5" thickBot="1" x14ac:dyDescent="0.3">
      <c r="A6" s="69"/>
      <c r="B6" s="69"/>
      <c r="C6" s="70"/>
      <c r="D6" s="70"/>
      <c r="F6" s="70"/>
      <c r="G6" s="70"/>
      <c r="H6" s="70"/>
      <c r="I6" s="70"/>
      <c r="J6" s="70"/>
      <c r="K6" s="70"/>
      <c r="L6" s="70"/>
      <c r="M6" s="70"/>
      <c r="N6" s="70"/>
      <c r="O6" s="69"/>
    </row>
    <row r="7" spans="1:15" ht="20.25" x14ac:dyDescent="0.3">
      <c r="A7" s="76"/>
      <c r="B7" s="77" t="s">
        <v>192</v>
      </c>
      <c r="C7" s="77" t="s">
        <v>193</v>
      </c>
      <c r="D7" s="77" t="s">
        <v>194</v>
      </c>
      <c r="F7" s="70"/>
      <c r="G7" s="79"/>
      <c r="H7" s="70"/>
      <c r="I7" s="70"/>
      <c r="J7" s="69"/>
      <c r="K7" s="70"/>
      <c r="L7" s="70"/>
      <c r="M7" s="70"/>
      <c r="N7" s="70"/>
      <c r="O7" s="69"/>
    </row>
    <row r="8" spans="1:15" x14ac:dyDescent="0.25">
      <c r="A8" s="80" t="s">
        <v>195</v>
      </c>
      <c r="B8" s="81">
        <f>$D$3</f>
        <v>0.88</v>
      </c>
      <c r="C8" s="81">
        <f>$D$3</f>
        <v>0.88</v>
      </c>
      <c r="D8" s="81">
        <f>$D$3</f>
        <v>0.88</v>
      </c>
      <c r="F8" s="70"/>
      <c r="G8" s="70"/>
      <c r="H8" s="70"/>
      <c r="I8" s="70"/>
      <c r="J8" s="69"/>
      <c r="K8" s="69"/>
      <c r="L8" s="69"/>
      <c r="M8" s="69"/>
      <c r="N8" s="69"/>
      <c r="O8" s="69"/>
    </row>
    <row r="9" spans="1:15" ht="16.5" thickBot="1" x14ac:dyDescent="0.3">
      <c r="A9" s="82" t="s">
        <v>196</v>
      </c>
      <c r="B9" s="83">
        <f>$D$4</f>
        <v>3.3347436667024035</v>
      </c>
      <c r="C9" s="84">
        <f>B8*(C14*(C18-C17)+C17)</f>
        <v>2.4955248862611756</v>
      </c>
      <c r="D9" s="84">
        <f>C8*(D14*(D18-D17)+D17)</f>
        <v>1.24192875288388</v>
      </c>
      <c r="F9" s="70"/>
      <c r="G9" s="70"/>
      <c r="H9" s="70"/>
      <c r="I9" s="70"/>
      <c r="J9" s="69"/>
      <c r="K9" s="70"/>
      <c r="L9" s="69"/>
      <c r="M9" s="69"/>
      <c r="N9" s="69"/>
      <c r="O9" s="69"/>
    </row>
    <row r="10" spans="1:15" ht="16.5" thickBot="1" x14ac:dyDescent="0.3">
      <c r="A10" s="70" t="s">
        <v>197</v>
      </c>
      <c r="B10" s="85">
        <f>B8+1.64*B9</f>
        <v>6.3489796133919416</v>
      </c>
      <c r="C10" s="86">
        <f>C8+1.64*C9</f>
        <v>4.9726608134683277</v>
      </c>
      <c r="D10" s="86">
        <f>D8+1.64*D9</f>
        <v>2.9167631547295629</v>
      </c>
      <c r="F10" s="70"/>
      <c r="G10" s="70"/>
      <c r="H10" s="70"/>
      <c r="I10" s="70"/>
      <c r="J10" s="69"/>
      <c r="K10" s="70"/>
      <c r="L10" s="69"/>
      <c r="M10" s="69"/>
      <c r="N10" s="69"/>
      <c r="O10" s="69"/>
    </row>
    <row r="11" spans="1:15" x14ac:dyDescent="0.25">
      <c r="A11" s="87" t="s">
        <v>198</v>
      </c>
      <c r="B11" s="88">
        <f t="shared" ref="B11:D12" si="0">LN(B8)</f>
        <v>-0.12783337150988489</v>
      </c>
      <c r="C11" s="88">
        <f t="shared" si="0"/>
        <v>-0.12783337150988489</v>
      </c>
      <c r="D11" s="88">
        <f t="shared" si="0"/>
        <v>-0.12783337150988489</v>
      </c>
      <c r="F11" s="70"/>
      <c r="G11" s="70"/>
      <c r="H11" s="70"/>
      <c r="I11" s="70"/>
      <c r="J11" s="69"/>
      <c r="K11" s="70"/>
      <c r="L11" s="69"/>
      <c r="M11" s="69"/>
      <c r="N11" s="69"/>
      <c r="O11" s="69"/>
    </row>
    <row r="12" spans="1:15" ht="16.5" thickBot="1" x14ac:dyDescent="0.3">
      <c r="A12" s="82" t="s">
        <v>199</v>
      </c>
      <c r="B12" s="83">
        <f t="shared" si="0"/>
        <v>1.2043958148550864</v>
      </c>
      <c r="C12" s="83">
        <f t="shared" si="0"/>
        <v>0.91449908233269128</v>
      </c>
      <c r="D12" s="83">
        <f t="shared" si="0"/>
        <v>0.21666561703806853</v>
      </c>
      <c r="F12" s="70"/>
      <c r="G12" s="70"/>
      <c r="H12" s="70"/>
      <c r="I12" s="70"/>
      <c r="J12" s="69"/>
      <c r="K12" s="70"/>
      <c r="L12" s="69"/>
      <c r="M12" s="69"/>
      <c r="N12" s="69"/>
      <c r="O12" s="69"/>
    </row>
    <row r="13" spans="1:15" ht="16.5" thickBot="1" x14ac:dyDescent="0.3">
      <c r="A13" s="70"/>
      <c r="B13" s="70"/>
      <c r="C13" s="70"/>
      <c r="D13" s="70"/>
      <c r="F13" s="70"/>
      <c r="G13" s="70"/>
      <c r="H13" s="70"/>
      <c r="I13" s="70"/>
      <c r="J13" s="69"/>
      <c r="K13" s="69"/>
      <c r="L13" s="69"/>
      <c r="M13" s="69"/>
      <c r="N13" s="69"/>
      <c r="O13" s="69"/>
    </row>
    <row r="14" spans="1:15" x14ac:dyDescent="0.25">
      <c r="A14" s="87" t="s">
        <v>200</v>
      </c>
      <c r="B14" s="89">
        <v>1</v>
      </c>
      <c r="C14" s="90">
        <v>0.59899999999999998</v>
      </c>
      <c r="D14" s="78">
        <v>0</v>
      </c>
      <c r="F14" s="70"/>
      <c r="G14" s="70"/>
      <c r="H14" s="70"/>
      <c r="I14" s="70"/>
      <c r="J14" s="69"/>
      <c r="K14" s="69"/>
      <c r="L14" s="69"/>
      <c r="M14" s="69"/>
      <c r="N14" s="69"/>
      <c r="O14" s="69"/>
    </row>
    <row r="15" spans="1:15" ht="16.5" thickBot="1" x14ac:dyDescent="0.3">
      <c r="A15" s="82" t="s">
        <v>201</v>
      </c>
      <c r="B15" s="92">
        <v>30.9</v>
      </c>
      <c r="C15" s="92">
        <v>30.9</v>
      </c>
      <c r="D15" s="92">
        <v>30.9</v>
      </c>
      <c r="F15" s="70"/>
      <c r="G15" s="70"/>
      <c r="H15" s="70"/>
      <c r="I15" s="70"/>
      <c r="J15" s="69"/>
      <c r="K15" s="69"/>
      <c r="L15" s="69"/>
      <c r="M15" s="69"/>
      <c r="N15" s="69"/>
      <c r="O15" s="69"/>
    </row>
    <row r="16" spans="1:15" ht="16.5" thickBot="1" x14ac:dyDescent="0.3">
      <c r="A16" s="70"/>
      <c r="B16" s="91"/>
      <c r="C16" s="91"/>
      <c r="D16" s="91"/>
      <c r="F16" s="70"/>
      <c r="G16" s="70"/>
      <c r="H16" s="70"/>
      <c r="I16" s="70"/>
      <c r="J16" s="69"/>
      <c r="K16" s="69"/>
      <c r="L16" s="69"/>
      <c r="M16" s="69"/>
      <c r="N16" s="69"/>
      <c r="O16" s="69"/>
    </row>
    <row r="17" spans="1:15" x14ac:dyDescent="0.25">
      <c r="A17" s="87" t="s">
        <v>202</v>
      </c>
      <c r="B17" s="94">
        <f>EXP(LN($B$9)/SQRT(B15))/$B$8</f>
        <v>1.4112826737316819</v>
      </c>
      <c r="C17" s="94">
        <f>EXP(LN($B$9)/SQRT(C15))/$B$8</f>
        <v>1.4112826737316819</v>
      </c>
      <c r="D17" s="95">
        <f>EXP(LN($B$9)/SQRT(D15))/$B$8</f>
        <v>1.4112826737316819</v>
      </c>
      <c r="F17" s="69"/>
      <c r="G17" s="69"/>
      <c r="H17" s="69"/>
      <c r="I17" s="69"/>
      <c r="J17" s="69"/>
      <c r="K17" s="69"/>
      <c r="L17" s="69"/>
      <c r="M17" s="69"/>
      <c r="N17" s="69"/>
      <c r="O17" s="69"/>
    </row>
    <row r="18" spans="1:15" ht="16.5" thickBot="1" x14ac:dyDescent="0.3">
      <c r="A18" s="82" t="s">
        <v>203</v>
      </c>
      <c r="B18" s="96">
        <f>$B$9/$B$8</f>
        <v>3.7894814394345495</v>
      </c>
      <c r="C18" s="96">
        <f>$B$9/$B$8</f>
        <v>3.7894814394345495</v>
      </c>
      <c r="D18" s="97">
        <f>$B$9/$B$8</f>
        <v>3.7894814394345495</v>
      </c>
      <c r="F18" s="69"/>
      <c r="G18" s="69"/>
      <c r="H18" s="69"/>
      <c r="I18" s="69"/>
      <c r="J18" s="69"/>
      <c r="K18" s="69"/>
      <c r="L18" s="69"/>
      <c r="M18" s="69"/>
      <c r="N18" s="69"/>
      <c r="O18" s="69"/>
    </row>
    <row r="19" spans="1:15" x14ac:dyDescent="0.25">
      <c r="A19" s="70"/>
      <c r="B19" s="70"/>
      <c r="C19" s="70"/>
      <c r="D19" s="70"/>
      <c r="F19" s="69"/>
      <c r="G19" s="69"/>
      <c r="H19" s="69"/>
      <c r="I19" s="69"/>
      <c r="J19" s="69"/>
      <c r="K19" s="69"/>
      <c r="L19" s="69"/>
      <c r="M19" s="69"/>
      <c r="N19" s="69"/>
      <c r="O19" s="69"/>
    </row>
    <row r="21" spans="1:15" ht="16.5" thickBot="1" x14ac:dyDescent="0.3">
      <c r="A21" s="82" t="s">
        <v>242</v>
      </c>
      <c r="B21" s="83"/>
      <c r="C21" s="83">
        <f>C9/B9</f>
        <v>0.74834084285971569</v>
      </c>
      <c r="D21" s="83">
        <f>D9/B9</f>
        <v>0.37242105451300683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670A7-FAD3-41DB-AE95-28ACB172E4E3}">
  <dimension ref="A1:O21"/>
  <sheetViews>
    <sheetView zoomScaleNormal="100" workbookViewId="0">
      <selection activeCell="S9" sqref="S9"/>
    </sheetView>
  </sheetViews>
  <sheetFormatPr defaultColWidth="11.7109375" defaultRowHeight="15.75" x14ac:dyDescent="0.25"/>
  <cols>
    <col min="1" max="1" width="17" style="68" customWidth="1"/>
    <col min="2" max="2" width="11.7109375" style="68"/>
    <col min="3" max="3" width="17.28515625" style="68" bestFit="1" customWidth="1"/>
    <col min="4" max="16384" width="11.7109375" style="68"/>
  </cols>
  <sheetData>
    <row r="1" spans="1:15" ht="26.25" thickBot="1" x14ac:dyDescent="0.4">
      <c r="A1" s="63" t="s">
        <v>205</v>
      </c>
      <c r="B1" s="64"/>
      <c r="C1" s="64"/>
      <c r="D1" s="65"/>
      <c r="E1" s="65"/>
      <c r="F1" s="66"/>
      <c r="G1" s="67"/>
      <c r="I1" s="69"/>
      <c r="J1" s="69"/>
      <c r="K1" s="70"/>
      <c r="L1" s="70"/>
      <c r="M1" s="70"/>
      <c r="N1" s="70"/>
      <c r="O1" s="69"/>
    </row>
    <row r="2" spans="1:15" ht="19.5" thickBot="1" x14ac:dyDescent="0.35">
      <c r="A2" s="71"/>
      <c r="B2" s="69"/>
      <c r="C2" s="69"/>
      <c r="D2" s="70"/>
      <c r="E2" s="70"/>
      <c r="F2" s="70"/>
      <c r="G2" s="70"/>
      <c r="H2" s="69"/>
      <c r="I2" s="69"/>
      <c r="J2" s="69"/>
      <c r="K2" s="70"/>
      <c r="L2" s="70"/>
      <c r="M2" s="70"/>
      <c r="N2" s="70"/>
      <c r="O2" s="69"/>
    </row>
    <row r="3" spans="1:15" ht="19.5" thickBot="1" x14ac:dyDescent="0.35">
      <c r="A3" s="72" t="s">
        <v>188</v>
      </c>
      <c r="B3" s="69"/>
      <c r="C3" s="102" t="s">
        <v>189</v>
      </c>
      <c r="D3" s="128">
        <v>0.11</v>
      </c>
      <c r="F3" s="70"/>
      <c r="G3" s="70"/>
      <c r="H3" s="69"/>
      <c r="I3" s="69"/>
      <c r="J3" s="69"/>
      <c r="K3" s="70"/>
      <c r="L3" s="70"/>
      <c r="M3" s="70"/>
      <c r="N3" s="70"/>
      <c r="O3" s="69"/>
    </row>
    <row r="4" spans="1:15" ht="19.5" thickBot="1" x14ac:dyDescent="0.35">
      <c r="A4" s="75" t="s">
        <v>190</v>
      </c>
      <c r="B4" s="69"/>
      <c r="C4" s="103" t="s">
        <v>191</v>
      </c>
      <c r="D4" s="127">
        <v>4.5264715133267304</v>
      </c>
      <c r="F4" s="70"/>
      <c r="G4" s="70"/>
      <c r="H4" s="69"/>
      <c r="I4" s="69"/>
      <c r="J4" s="69"/>
      <c r="K4" s="70"/>
      <c r="L4" s="70"/>
      <c r="M4" s="70"/>
      <c r="N4" s="70"/>
      <c r="O4" s="69"/>
    </row>
    <row r="5" spans="1:15" ht="17.45" customHeight="1" thickBot="1" x14ac:dyDescent="0.35">
      <c r="A5" s="100" t="s">
        <v>211</v>
      </c>
      <c r="B5" s="69"/>
      <c r="C5" s="98"/>
      <c r="D5" s="101"/>
      <c r="F5" s="70"/>
      <c r="G5" s="70"/>
      <c r="H5" s="69"/>
      <c r="I5" s="69"/>
      <c r="J5" s="69"/>
      <c r="K5" s="70"/>
      <c r="L5" s="70"/>
      <c r="M5" s="70"/>
      <c r="N5" s="70"/>
      <c r="O5" s="69"/>
    </row>
    <row r="6" spans="1:15" ht="16.5" thickBot="1" x14ac:dyDescent="0.3">
      <c r="A6" s="69"/>
      <c r="B6" s="69"/>
      <c r="C6" s="70"/>
      <c r="D6" s="70"/>
      <c r="F6" s="70"/>
      <c r="G6" s="70"/>
      <c r="H6" s="70"/>
      <c r="I6" s="70"/>
      <c r="J6" s="70"/>
      <c r="K6" s="70"/>
      <c r="L6" s="70"/>
      <c r="M6" s="70"/>
      <c r="N6" s="70"/>
      <c r="O6" s="69"/>
    </row>
    <row r="7" spans="1:15" ht="20.25" x14ac:dyDescent="0.3">
      <c r="A7" s="76"/>
      <c r="B7" s="77" t="s">
        <v>192</v>
      </c>
      <c r="C7" s="77" t="s">
        <v>193</v>
      </c>
      <c r="D7" s="77" t="s">
        <v>194</v>
      </c>
      <c r="F7" s="70"/>
      <c r="G7" s="79"/>
      <c r="H7" s="70"/>
      <c r="I7" s="70"/>
      <c r="J7" s="69"/>
      <c r="K7" s="70"/>
      <c r="L7" s="70"/>
      <c r="M7" s="70"/>
      <c r="N7" s="70"/>
      <c r="O7" s="69"/>
    </row>
    <row r="8" spans="1:15" x14ac:dyDescent="0.25">
      <c r="A8" s="80" t="s">
        <v>195</v>
      </c>
      <c r="B8" s="81">
        <f>$D$3</f>
        <v>0.11</v>
      </c>
      <c r="C8" s="81">
        <f>$D$3</f>
        <v>0.11</v>
      </c>
      <c r="D8" s="81">
        <f>$D$3</f>
        <v>0.11</v>
      </c>
      <c r="F8" s="70"/>
      <c r="G8" s="70"/>
      <c r="H8" s="70"/>
      <c r="I8" s="70"/>
      <c r="J8" s="69"/>
      <c r="K8" s="69"/>
      <c r="L8" s="69"/>
      <c r="M8" s="69"/>
      <c r="N8" s="69"/>
      <c r="O8" s="69"/>
    </row>
    <row r="9" spans="1:15" ht="16.5" thickBot="1" x14ac:dyDescent="0.3">
      <c r="A9" s="82" t="s">
        <v>196</v>
      </c>
      <c r="B9" s="83">
        <f>$D$4</f>
        <v>4.5264715133267304</v>
      </c>
      <c r="C9" s="84">
        <f>B8*(C14*(C18-C17)+C17)</f>
        <v>3.2021522238080098</v>
      </c>
      <c r="D9" s="84">
        <f>C8*(D14*(D18-D17)+D17)</f>
        <v>1.3121043057570214</v>
      </c>
      <c r="F9" s="70"/>
      <c r="G9" s="70"/>
      <c r="H9" s="70"/>
      <c r="I9" s="70"/>
      <c r="J9" s="69"/>
      <c r="K9" s="70"/>
      <c r="L9" s="69"/>
      <c r="M9" s="69"/>
      <c r="N9" s="69"/>
      <c r="O9" s="69"/>
    </row>
    <row r="10" spans="1:15" ht="16.5" thickBot="1" x14ac:dyDescent="0.3">
      <c r="A10" s="70" t="s">
        <v>197</v>
      </c>
      <c r="B10" s="85">
        <f>B8+1.64*B9</f>
        <v>7.5334132818558377</v>
      </c>
      <c r="C10" s="86">
        <f>C8+1.64*C9</f>
        <v>5.3615296470451357</v>
      </c>
      <c r="D10" s="86">
        <f>D8+1.64*D9</f>
        <v>2.261851061441515</v>
      </c>
      <c r="F10" s="70"/>
      <c r="G10" s="70"/>
      <c r="H10" s="70"/>
      <c r="I10" s="70"/>
      <c r="J10" s="69"/>
      <c r="K10" s="70"/>
      <c r="L10" s="69"/>
      <c r="M10" s="69"/>
      <c r="N10" s="69"/>
      <c r="O10" s="69"/>
    </row>
    <row r="11" spans="1:15" x14ac:dyDescent="0.25">
      <c r="A11" s="87" t="s">
        <v>198</v>
      </c>
      <c r="B11" s="88">
        <f>LN(B8)</f>
        <v>-2.2072749131897207</v>
      </c>
      <c r="C11" s="88">
        <f t="shared" ref="C11:D12" si="0">LN(C8)</f>
        <v>-2.2072749131897207</v>
      </c>
      <c r="D11" s="88">
        <f t="shared" si="0"/>
        <v>-2.2072749131897207</v>
      </c>
      <c r="F11" s="70"/>
      <c r="G11" s="70"/>
      <c r="H11" s="70"/>
      <c r="I11" s="70"/>
      <c r="J11" s="69"/>
      <c r="K11" s="70"/>
      <c r="L11" s="69"/>
      <c r="M11" s="69"/>
      <c r="N11" s="69"/>
      <c r="O11" s="69"/>
    </row>
    <row r="12" spans="1:15" ht="16.5" thickBot="1" x14ac:dyDescent="0.3">
      <c r="A12" s="82" t="s">
        <v>199</v>
      </c>
      <c r="B12" s="83">
        <f>LN(B9)</f>
        <v>1.5099427206023279</v>
      </c>
      <c r="C12" s="83">
        <f t="shared" si="0"/>
        <v>1.163823153671883</v>
      </c>
      <c r="D12" s="83">
        <f t="shared" si="0"/>
        <v>0.27163218870102646</v>
      </c>
      <c r="F12" s="70"/>
      <c r="G12" s="70"/>
      <c r="H12" s="70"/>
      <c r="I12" s="70"/>
      <c r="J12" s="69"/>
      <c r="K12" s="70"/>
      <c r="L12" s="69"/>
      <c r="M12" s="69"/>
      <c r="N12" s="69"/>
      <c r="O12" s="69"/>
    </row>
    <row r="13" spans="1:15" ht="16.5" thickBot="1" x14ac:dyDescent="0.3">
      <c r="A13" s="70"/>
      <c r="B13" s="70"/>
      <c r="C13" s="70"/>
      <c r="D13" s="70"/>
      <c r="F13" s="70"/>
      <c r="G13" s="70"/>
      <c r="H13" s="70"/>
      <c r="I13" s="70"/>
      <c r="J13" s="69"/>
      <c r="K13" s="69"/>
      <c r="L13" s="69"/>
      <c r="M13" s="69"/>
      <c r="N13" s="69"/>
      <c r="O13" s="69"/>
    </row>
    <row r="14" spans="1:15" x14ac:dyDescent="0.25">
      <c r="A14" s="87" t="s">
        <v>200</v>
      </c>
      <c r="B14" s="89">
        <v>1</v>
      </c>
      <c r="C14" s="90">
        <v>0.58799999999999997</v>
      </c>
      <c r="D14" s="78">
        <v>0</v>
      </c>
      <c r="F14" s="70"/>
      <c r="G14" s="70"/>
      <c r="H14" s="70"/>
      <c r="I14" s="70"/>
      <c r="J14" s="69"/>
      <c r="K14" s="69"/>
      <c r="L14" s="69"/>
      <c r="M14" s="69"/>
      <c r="N14" s="69"/>
      <c r="O14" s="69"/>
    </row>
    <row r="15" spans="1:15" ht="16.5" thickBot="1" x14ac:dyDescent="0.3">
      <c r="A15" s="82" t="s">
        <v>201</v>
      </c>
      <c r="B15" s="92">
        <v>30.9</v>
      </c>
      <c r="C15" s="92">
        <v>30.9</v>
      </c>
      <c r="D15" s="92">
        <v>30.9</v>
      </c>
      <c r="F15" s="70"/>
      <c r="G15" s="70"/>
      <c r="H15" s="70"/>
      <c r="I15" s="70"/>
      <c r="J15" s="69"/>
      <c r="K15" s="69"/>
      <c r="L15" s="69"/>
      <c r="M15" s="69"/>
      <c r="N15" s="69"/>
      <c r="O15" s="69"/>
    </row>
    <row r="16" spans="1:15" ht="16.5" thickBot="1" x14ac:dyDescent="0.3">
      <c r="A16" s="70"/>
      <c r="B16" s="91"/>
      <c r="C16" s="91"/>
      <c r="D16" s="91"/>
      <c r="F16" s="70"/>
      <c r="G16" s="70"/>
      <c r="H16" s="70"/>
      <c r="I16" s="70"/>
      <c r="J16" s="69"/>
      <c r="K16" s="69"/>
      <c r="L16" s="69"/>
      <c r="M16" s="69"/>
      <c r="N16" s="69"/>
      <c r="O16" s="69"/>
    </row>
    <row r="17" spans="1:15" x14ac:dyDescent="0.25">
      <c r="A17" s="87" t="s">
        <v>202</v>
      </c>
      <c r="B17" s="94">
        <f>EXP(LN($B$9)/SQRT(B15))/$B$8</f>
        <v>11.928220961427467</v>
      </c>
      <c r="C17" s="94">
        <f>EXP(LN($B$9)/SQRT(C15))/$B$8</f>
        <v>11.928220961427467</v>
      </c>
      <c r="D17" s="95">
        <f>EXP(LN($B$9)/SQRT(D15))/$B$8</f>
        <v>11.928220961427467</v>
      </c>
      <c r="F17" s="69"/>
      <c r="G17" s="69"/>
      <c r="H17" s="69"/>
      <c r="I17" s="69"/>
      <c r="J17" s="69"/>
      <c r="K17" s="69"/>
      <c r="L17" s="69"/>
      <c r="M17" s="69"/>
      <c r="N17" s="69"/>
      <c r="O17" s="69"/>
    </row>
    <row r="18" spans="1:15" ht="16.5" thickBot="1" x14ac:dyDescent="0.3">
      <c r="A18" s="82" t="s">
        <v>203</v>
      </c>
      <c r="B18" s="96">
        <f>$B$9/$B$8</f>
        <v>41.149741030243</v>
      </c>
      <c r="C18" s="96">
        <f>$B$9/$B$8</f>
        <v>41.149741030243</v>
      </c>
      <c r="D18" s="97">
        <f>$B$9/$B$8</f>
        <v>41.149741030243</v>
      </c>
      <c r="F18" s="69"/>
      <c r="G18" s="69"/>
      <c r="H18" s="69"/>
      <c r="I18" s="69"/>
      <c r="J18" s="69"/>
      <c r="K18" s="69"/>
      <c r="L18" s="69"/>
      <c r="M18" s="69"/>
      <c r="N18" s="69"/>
      <c r="O18" s="69"/>
    </row>
    <row r="19" spans="1:15" x14ac:dyDescent="0.25">
      <c r="A19" s="70"/>
      <c r="B19" s="70"/>
      <c r="C19" s="70"/>
      <c r="D19" s="70"/>
      <c r="F19" s="69"/>
      <c r="G19" s="69"/>
      <c r="H19" s="69"/>
      <c r="I19" s="69"/>
      <c r="J19" s="69"/>
      <c r="K19" s="69"/>
      <c r="L19" s="69"/>
      <c r="M19" s="69"/>
      <c r="N19" s="69"/>
      <c r="O19" s="69"/>
    </row>
    <row r="21" spans="1:15" ht="16.5" thickBot="1" x14ac:dyDescent="0.3">
      <c r="A21" s="82" t="s">
        <v>242</v>
      </c>
      <c r="B21" s="83"/>
      <c r="C21" s="83">
        <f>C9/B9</f>
        <v>0.70742789706735343</v>
      </c>
      <c r="D21" s="83">
        <f>D9/B9</f>
        <v>0.28987353657124648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4" ma:contentTypeDescription="Create a new document." ma:contentTypeScope="" ma:versionID="130393ee65683b13c8a82f65ea54bc8f">
  <xsd:schema xmlns:xsd="http://www.w3.org/2001/XMLSchema" xmlns:xs="http://www.w3.org/2001/XMLSchema" xmlns:p="http://schemas.microsoft.com/office/2006/metadata/properties" xmlns:ns2="a4fa01a2-eee6-40eb-9c59-3cbd144b75a0" targetNamespace="http://schemas.microsoft.com/office/2006/metadata/properties" ma:root="true" ma:fieldsID="4e79eb2c05a57ab9a90a50a7c0cc4fe7"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537B76-33B8-4908-B846-5186FFCE6191}">
  <ds:schemaRefs>
    <ds:schemaRef ds:uri="http://schemas.microsoft.com/sharepoint/v3/contenttype/forms"/>
  </ds:schemaRefs>
</ds:datastoreItem>
</file>

<file path=customXml/itemProps2.xml><?xml version="1.0" encoding="utf-8"?>
<ds:datastoreItem xmlns:ds="http://schemas.openxmlformats.org/officeDocument/2006/customXml" ds:itemID="{FC8DC0CB-7581-4EFB-A43F-21B4C70A40BA}">
  <ds:schemaRefs>
    <ds:schemaRef ds:uri="http://purl.org/dc/term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purl.org/dc/elements/1.1/"/>
    <ds:schemaRef ds:uri="http://www.w3.org/XML/1998/namespace"/>
    <ds:schemaRef ds:uri="9446d851-bce4-499e-8a9e-7465504b09d4"/>
    <ds:schemaRef ds:uri="http://schemas.microsoft.com/office/infopath/2007/PartnerControls"/>
    <ds:schemaRef ds:uri="4ef35ed2-7b89-47ee-ae6c-9f578d694a2e"/>
  </ds:schemaRefs>
</ds:datastoreItem>
</file>

<file path=customXml/itemProps3.xml><?xml version="1.0" encoding="utf-8"?>
<ds:datastoreItem xmlns:ds="http://schemas.openxmlformats.org/officeDocument/2006/customXml" ds:itemID="{52AEA3A1-7ADC-4782-89F6-585EDE1D6EA1}"/>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readme</vt:lpstr>
      <vt:lpstr>Urine ICCs</vt:lpstr>
      <vt:lpstr>Urine ICCs_for analysis</vt:lpstr>
      <vt:lpstr>Parameter estimation for 20</vt:lpstr>
      <vt:lpstr>GSD Calc_139-BDCIPP</vt:lpstr>
      <vt:lpstr>GSD Calc_20-BCIPHIP</vt:lpstr>
      <vt:lpstr>GSD Calc_20-BDCIPP</vt:lpstr>
      <vt:lpstr>readme!_Toc151370152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PHOP_ICC extracted data and GSD Analyses</dc:title>
  <dc:creator>Bradley, Mark (bradlemk)</dc:creator>
  <cp:lastModifiedBy>Bevington, Charles</cp:lastModifiedBy>
  <dcterms:created xsi:type="dcterms:W3CDTF">2023-05-19T20:37:08Z</dcterms:created>
  <dcterms:modified xsi:type="dcterms:W3CDTF">2024-09-24T16:51:37Z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